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8C9CA350-711F-40C5-9578-EB04ECEDACCA}" xr6:coauthVersionLast="47" xr6:coauthVersionMax="47" xr10:uidLastSave="{00000000-0000-0000-0000-000000000000}"/>
  <bookViews>
    <workbookView xWindow="28680" yWindow="-120" windowWidth="29040" windowHeight="15720" tabRatio="845" activeTab="1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state="hidden" r:id="rId4"/>
    <sheet name="EJ. DESAGREGADA" sheetId="87" state="hidden" r:id="rId5"/>
    <sheet name="INF SECRETARÍA GRAL  (2)" sheetId="90" r:id="rId6"/>
    <sheet name="Seguimiento aprop. disponible" sheetId="92" state="hidden" r:id="rId7"/>
    <sheet name="INF SECRETARÍA GRAL  (3)" sheetId="91" state="hidden" r:id="rId8"/>
    <sheet name="Hoja1" sheetId="74" state="hidden" r:id="rId9"/>
  </sheets>
  <externalReferences>
    <externalReference r:id="rId10"/>
  </externalReferences>
  <definedNames>
    <definedName name="_xlnm._FilterDatabase" localSheetId="3" hidden="1">'EJ. AGREGADA'!$A$4:$AC$19</definedName>
    <definedName name="_xlnm._FilterDatabase" localSheetId="4" hidden="1">'EJ. DESAGREGADA'!$A$4:$AC$68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AGENCIA'!$A$2:$Q$135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88" l="1"/>
  <c r="I15" i="88"/>
  <c r="M74" i="68"/>
  <c r="L63" i="68"/>
  <c r="L94" i="68"/>
  <c r="M94" i="68"/>
  <c r="L86" i="68"/>
  <c r="M86" i="68"/>
  <c r="M81" i="68"/>
  <c r="M76" i="68"/>
  <c r="M63" i="68"/>
  <c r="M73" i="68"/>
  <c r="L73" i="68"/>
  <c r="M72" i="68"/>
  <c r="L72" i="68"/>
  <c r="M54" i="68"/>
  <c r="L54" i="68"/>
  <c r="L69" i="68"/>
  <c r="M71" i="68"/>
  <c r="L71" i="68"/>
  <c r="AB67" i="87"/>
  <c r="AB66" i="87"/>
  <c r="AB65" i="87"/>
  <c r="AB64" i="87"/>
  <c r="AB63" i="87"/>
  <c r="AB62" i="87"/>
  <c r="AB61" i="87"/>
  <c r="AB60" i="87"/>
  <c r="AB59" i="87"/>
  <c r="AB58" i="87"/>
  <c r="AB57" i="87"/>
  <c r="AB56" i="87"/>
  <c r="AB55" i="87"/>
  <c r="AB54" i="87"/>
  <c r="L78" i="68" s="1"/>
  <c r="AB53" i="87"/>
  <c r="AB52" i="87"/>
  <c r="AB51" i="87"/>
  <c r="AB50" i="87"/>
  <c r="AB49" i="87"/>
  <c r="AB48" i="87"/>
  <c r="AB47" i="87"/>
  <c r="AB46" i="87"/>
  <c r="AB45" i="87"/>
  <c r="AB44" i="87"/>
  <c r="AB43" i="87"/>
  <c r="AB42" i="87"/>
  <c r="AB41" i="87"/>
  <c r="AB40" i="87"/>
  <c r="AB39" i="87"/>
  <c r="L59" i="68" s="1"/>
  <c r="AB38" i="87"/>
  <c r="AB37" i="87"/>
  <c r="AB36" i="87"/>
  <c r="AB35" i="87"/>
  <c r="AB34" i="87"/>
  <c r="AB33" i="87"/>
  <c r="AB32" i="87"/>
  <c r="AB31" i="87"/>
  <c r="AB30" i="87"/>
  <c r="AB29" i="87"/>
  <c r="AB28" i="87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C6" i="86"/>
  <c r="AC7" i="86"/>
  <c r="AC8" i="86"/>
  <c r="AC9" i="86"/>
  <c r="AC10" i="86"/>
  <c r="AC11" i="86"/>
  <c r="AC12" i="86"/>
  <c r="AC13" i="86"/>
  <c r="AC14" i="86"/>
  <c r="AC15" i="86"/>
  <c r="AC16" i="86"/>
  <c r="AC17" i="86"/>
  <c r="AC5" i="86"/>
  <c r="M59" i="68"/>
  <c r="M78" i="68"/>
  <c r="M106" i="68" l="1"/>
  <c r="M103" i="68"/>
  <c r="C8" i="92"/>
  <c r="L17" i="92"/>
  <c r="L6" i="92"/>
  <c r="D13" i="92" l="1"/>
  <c r="E12" i="92"/>
  <c r="E11" i="92"/>
  <c r="E10" i="92"/>
  <c r="E9" i="92"/>
  <c r="E8" i="92"/>
  <c r="E13" i="92" s="1"/>
  <c r="E7" i="92"/>
  <c r="E6" i="92"/>
  <c r="E5" i="92"/>
  <c r="E4" i="92"/>
  <c r="C11" i="92"/>
  <c r="L16" i="92" l="1"/>
  <c r="L15" i="92"/>
  <c r="L14" i="92"/>
  <c r="L13" i="92"/>
  <c r="L12" i="92"/>
  <c r="F12" i="92" s="1"/>
  <c r="L8" i="92" l="1"/>
  <c r="F4" i="92" s="1"/>
  <c r="G4" i="92" s="1"/>
  <c r="F5" i="92"/>
  <c r="I8" i="92"/>
  <c r="K7" i="92"/>
  <c r="F13" i="92" l="1"/>
  <c r="E34" i="92"/>
  <c r="G13" i="92" l="1"/>
  <c r="E33" i="92"/>
  <c r="C13" i="92"/>
  <c r="L103" i="68"/>
  <c r="L74" i="68"/>
  <c r="L55" i="68"/>
  <c r="L53" i="68"/>
  <c r="L52" i="68"/>
  <c r="L50" i="68"/>
  <c r="L49" i="68"/>
  <c r="L47" i="68"/>
  <c r="L46" i="68"/>
  <c r="L62" i="68"/>
  <c r="L112" i="68"/>
  <c r="L109" i="68"/>
  <c r="L106" i="68"/>
  <c r="M112" i="68"/>
  <c r="M109" i="68"/>
  <c r="L65" i="68"/>
  <c r="E51" i="92"/>
  <c r="E50" i="92"/>
  <c r="E32" i="92"/>
  <c r="E49" i="92"/>
  <c r="M65" i="68"/>
  <c r="M62" i="68"/>
  <c r="M55" i="68"/>
  <c r="M53" i="68"/>
  <c r="M52" i="68"/>
  <c r="M50" i="68"/>
  <c r="M49" i="68"/>
  <c r="M47" i="68"/>
  <c r="M46" i="68"/>
  <c r="E31" i="92"/>
  <c r="E30" i="92"/>
  <c r="E28" i="92" l="1"/>
  <c r="E27" i="92"/>
  <c r="E26" i="92"/>
  <c r="D19" i="92"/>
  <c r="D35" i="92" s="1"/>
  <c r="E29" i="92"/>
  <c r="M16" i="88" l="1"/>
  <c r="H6" i="90" l="1"/>
  <c r="D69" i="92" l="1"/>
  <c r="E6" i="90" l="1"/>
  <c r="L68" i="68"/>
  <c r="L97" i="68" l="1"/>
  <c r="L76" i="68"/>
  <c r="P30" i="68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4" i="68"/>
  <c r="J35" i="68"/>
  <c r="I31" i="68"/>
  <c r="I32" i="68"/>
  <c r="I33" i="68"/>
  <c r="I34" i="68"/>
  <c r="I35" i="68"/>
  <c r="I30" i="68"/>
  <c r="P112" i="68" l="1"/>
  <c r="N112" i="68"/>
  <c r="J112" i="68"/>
  <c r="I112" i="68"/>
  <c r="P109" i="68"/>
  <c r="N109" i="68"/>
  <c r="J109" i="68"/>
  <c r="I109" i="68"/>
  <c r="P106" i="68"/>
  <c r="N106" i="68"/>
  <c r="J106" i="68"/>
  <c r="I106" i="68"/>
  <c r="P103" i="68"/>
  <c r="N103" i="68"/>
  <c r="J103" i="68"/>
  <c r="I103" i="68"/>
  <c r="P94" i="68"/>
  <c r="N94" i="68"/>
  <c r="P91" i="68"/>
  <c r="P90" i="68"/>
  <c r="M91" i="68"/>
  <c r="M90" i="68"/>
  <c r="P86" i="68"/>
  <c r="N86" i="68"/>
  <c r="P82" i="68"/>
  <c r="N82" i="68"/>
  <c r="M82" i="68"/>
  <c r="L82" i="68"/>
  <c r="I82" i="68"/>
  <c r="J82" i="68"/>
  <c r="P79" i="68"/>
  <c r="P80" i="68"/>
  <c r="P81" i="68"/>
  <c r="P78" i="68"/>
  <c r="N79" i="68"/>
  <c r="N80" i="68"/>
  <c r="N81" i="68"/>
  <c r="N78" i="68"/>
  <c r="L79" i="68"/>
  <c r="L80" i="68"/>
  <c r="L81" i="68"/>
  <c r="J79" i="68"/>
  <c r="J80" i="68"/>
  <c r="J81" i="68"/>
  <c r="J78" i="68"/>
  <c r="I79" i="68"/>
  <c r="I80" i="68"/>
  <c r="I81" i="68"/>
  <c r="I78" i="68"/>
  <c r="P72" i="68"/>
  <c r="P73" i="68"/>
  <c r="P74" i="68"/>
  <c r="P75" i="68"/>
  <c r="P76" i="68"/>
  <c r="P71" i="68"/>
  <c r="N72" i="68"/>
  <c r="N73" i="68"/>
  <c r="N74" i="68"/>
  <c r="N75" i="68"/>
  <c r="N76" i="68"/>
  <c r="N71" i="68"/>
  <c r="M75" i="68"/>
  <c r="J72" i="68"/>
  <c r="J73" i="68"/>
  <c r="J74" i="68"/>
  <c r="J75" i="68"/>
  <c r="J76" i="68"/>
  <c r="J71" i="68"/>
  <c r="I72" i="68"/>
  <c r="I73" i="68"/>
  <c r="I74" i="68"/>
  <c r="I75" i="68"/>
  <c r="I76" i="68"/>
  <c r="I71" i="68"/>
  <c r="P68" i="68"/>
  <c r="P69" i="68"/>
  <c r="P67" i="68"/>
  <c r="N68" i="68"/>
  <c r="N69" i="68"/>
  <c r="N67" i="68"/>
  <c r="M67" i="68"/>
  <c r="J68" i="68"/>
  <c r="J69" i="68"/>
  <c r="J67" i="68"/>
  <c r="I68" i="68"/>
  <c r="I69" i="68"/>
  <c r="I67" i="68"/>
  <c r="P63" i="68"/>
  <c r="P64" i="68"/>
  <c r="P65" i="68"/>
  <c r="P62" i="68"/>
  <c r="N63" i="68"/>
  <c r="N64" i="68"/>
  <c r="N65" i="68"/>
  <c r="N62" i="68"/>
  <c r="M64" i="68"/>
  <c r="J63" i="68"/>
  <c r="J64" i="68"/>
  <c r="J65" i="68"/>
  <c r="J62" i="68"/>
  <c r="I63" i="68"/>
  <c r="I64" i="68"/>
  <c r="I65" i="68"/>
  <c r="I62" i="68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N50" i="68"/>
  <c r="N51" i="68"/>
  <c r="N52" i="68"/>
  <c r="N53" i="68"/>
  <c r="N54" i="68"/>
  <c r="N55" i="68"/>
  <c r="N49" i="68"/>
  <c r="P49" i="68"/>
  <c r="M51" i="68"/>
  <c r="J50" i="68"/>
  <c r="J51" i="68"/>
  <c r="J52" i="68"/>
  <c r="J53" i="68"/>
  <c r="J54" i="68"/>
  <c r="J55" i="68"/>
  <c r="J49" i="68"/>
  <c r="I50" i="68"/>
  <c r="I51" i="68"/>
  <c r="I52" i="68"/>
  <c r="I53" i="68"/>
  <c r="I54" i="68"/>
  <c r="I55" i="68"/>
  <c r="I49" i="68"/>
  <c r="P46" i="68"/>
  <c r="P47" i="68"/>
  <c r="P45" i="68"/>
  <c r="N46" i="68"/>
  <c r="N47" i="68"/>
  <c r="N45" i="68"/>
  <c r="M45" i="68"/>
  <c r="J46" i="68"/>
  <c r="J47" i="68"/>
  <c r="J45" i="68"/>
  <c r="I46" i="68"/>
  <c r="I47" i="68"/>
  <c r="I45" i="68"/>
  <c r="P41" i="68"/>
  <c r="N41" i="68"/>
  <c r="M41" i="68"/>
  <c r="J41" i="68"/>
  <c r="I41" i="68"/>
  <c r="P29" i="68"/>
  <c r="N29" i="68"/>
  <c r="J29" i="68"/>
  <c r="I29" i="68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M70" i="68" l="1"/>
  <c r="I28" i="68"/>
  <c r="I27" i="68"/>
  <c r="C15" i="91" l="1"/>
  <c r="H6" i="91"/>
  <c r="B8" i="91"/>
  <c r="B7" i="91"/>
  <c r="B6" i="91"/>
  <c r="G6" i="90"/>
  <c r="F6" i="90"/>
  <c r="E6" i="91"/>
  <c r="N91" i="68"/>
  <c r="N90" i="68"/>
  <c r="L91" i="68"/>
  <c r="L90" i="68"/>
  <c r="J91" i="68"/>
  <c r="J90" i="68"/>
  <c r="I91" i="68"/>
  <c r="I90" i="68"/>
  <c r="J94" i="68"/>
  <c r="I94" i="68"/>
  <c r="C35" i="92"/>
  <c r="E21" i="92"/>
  <c r="E22" i="92"/>
  <c r="E23" i="92"/>
  <c r="E24" i="92"/>
  <c r="E25" i="92"/>
  <c r="E20" i="92"/>
  <c r="G6" i="91" l="1"/>
  <c r="F6" i="91"/>
  <c r="L75" i="68"/>
  <c r="L67" i="68"/>
  <c r="L64" i="68"/>
  <c r="L60" i="68"/>
  <c r="L58" i="68"/>
  <c r="L57" i="68"/>
  <c r="L51" i="68"/>
  <c r="L45" i="68"/>
  <c r="L41" i="68"/>
  <c r="L40" i="68" s="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E19" i="92" l="1"/>
  <c r="E35" i="92" s="1"/>
  <c r="E46" i="92"/>
  <c r="E48" i="92"/>
  <c r="N25" i="88" l="1"/>
  <c r="E47" i="92"/>
  <c r="E52" i="92" s="1"/>
  <c r="E40" i="92"/>
  <c r="E39" i="92"/>
  <c r="E41" i="92" l="1"/>
  <c r="D41" i="92"/>
  <c r="D52" i="92"/>
  <c r="C52" i="92"/>
  <c r="C41" i="92"/>
  <c r="C45" i="92"/>
  <c r="C38" i="92"/>
  <c r="B12" i="90"/>
  <c r="B11" i="90"/>
  <c r="I92" i="68" l="1"/>
  <c r="I23" i="88" l="1"/>
  <c r="C8" i="90"/>
  <c r="C8" i="91" s="1"/>
  <c r="M48" i="68"/>
  <c r="M79" i="68"/>
  <c r="M80" i="68"/>
  <c r="P39" i="68"/>
  <c r="N39" i="68"/>
  <c r="M39" i="68"/>
  <c r="L39" i="68"/>
  <c r="L38" i="68" s="1"/>
  <c r="N38" i="68"/>
  <c r="L16" i="88" s="1"/>
  <c r="J40" i="68"/>
  <c r="J39" i="68" s="1"/>
  <c r="I38" i="68"/>
  <c r="I16" i="88" s="1"/>
  <c r="M38" i="68" l="1"/>
  <c r="K16" i="88"/>
  <c r="I40" i="68"/>
  <c r="I39" i="68" s="1"/>
  <c r="Q39" i="68" s="1"/>
  <c r="O41" i="68"/>
  <c r="K41" i="68"/>
  <c r="Q41" i="68"/>
  <c r="J38" i="68"/>
  <c r="J16" i="88" s="1"/>
  <c r="N16" i="88" l="1"/>
  <c r="K40" i="68"/>
  <c r="K39" i="68"/>
  <c r="Q40" i="68"/>
  <c r="O40" i="68"/>
  <c r="O39" i="68"/>
  <c r="N111" i="68"/>
  <c r="N110" i="68" s="1"/>
  <c r="L31" i="88" s="1"/>
  <c r="M111" i="68"/>
  <c r="I111" i="68"/>
  <c r="I110" i="68" s="1"/>
  <c r="I31" i="88" s="1"/>
  <c r="L111" i="68"/>
  <c r="L110" i="68" s="1"/>
  <c r="K31" i="88" s="1"/>
  <c r="J108" i="68"/>
  <c r="M110" i="68" l="1"/>
  <c r="P31" i="88"/>
  <c r="O112" i="68"/>
  <c r="O111" i="68" s="1"/>
  <c r="O110" i="68" s="1"/>
  <c r="Q112" i="68"/>
  <c r="P111" i="68"/>
  <c r="P110" i="68" s="1"/>
  <c r="M31" i="88" s="1"/>
  <c r="Q31" i="88" s="1"/>
  <c r="K112" i="68"/>
  <c r="K111" i="68" s="1"/>
  <c r="K110" i="68" s="1"/>
  <c r="J111" i="68"/>
  <c r="J110" i="68" s="1"/>
  <c r="J31" i="88" s="1"/>
  <c r="O31" i="88" s="1"/>
  <c r="P102" i="68"/>
  <c r="M102" i="68"/>
  <c r="P97" i="68"/>
  <c r="N97" i="68"/>
  <c r="J97" i="68"/>
  <c r="I97" i="68"/>
  <c r="N21" i="88"/>
  <c r="P87" i="68"/>
  <c r="N87" i="68"/>
  <c r="M87" i="68"/>
  <c r="J87" i="68"/>
  <c r="I87" i="68"/>
  <c r="J86" i="68"/>
  <c r="D6" i="90" s="1"/>
  <c r="I86" i="68"/>
  <c r="C6" i="90" s="1"/>
  <c r="P36" i="68"/>
  <c r="N36" i="68"/>
  <c r="M36" i="68"/>
  <c r="J36" i="68"/>
  <c r="I36" i="68"/>
  <c r="I14" i="88" s="1"/>
  <c r="N31" i="88" l="1"/>
  <c r="D6" i="91"/>
  <c r="I6" i="90"/>
  <c r="I6" i="91" s="1"/>
  <c r="C6" i="91"/>
  <c r="J6" i="90"/>
  <c r="J6" i="91" s="1"/>
  <c r="I89" i="68"/>
  <c r="I88" i="68" s="1"/>
  <c r="C7" i="90" s="1"/>
  <c r="C7" i="91" s="1"/>
  <c r="K55" i="68"/>
  <c r="K87" i="68"/>
  <c r="K36" i="68"/>
  <c r="I21" i="88"/>
  <c r="C5" i="90" l="1"/>
  <c r="C5" i="91" s="1"/>
  <c r="M56" i="68" l="1"/>
  <c r="O55" i="68"/>
  <c r="P48" i="68"/>
  <c r="N56" i="68"/>
  <c r="N70" i="68"/>
  <c r="N77" i="68"/>
  <c r="N66" i="68"/>
  <c r="I48" i="68"/>
  <c r="N61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L87" i="68" l="1"/>
  <c r="M28" i="88"/>
  <c r="M22" i="88"/>
  <c r="M21" i="88"/>
  <c r="L22" i="88"/>
  <c r="L21" i="88"/>
  <c r="N22" i="88"/>
  <c r="J22" i="88"/>
  <c r="J21" i="88"/>
  <c r="I28" i="88"/>
  <c r="I108" i="68"/>
  <c r="I107" i="68" s="1"/>
  <c r="N96" i="68"/>
  <c r="N95" i="68" s="1"/>
  <c r="M25" i="88"/>
  <c r="M20" i="88"/>
  <c r="P44" i="68"/>
  <c r="L20" i="88"/>
  <c r="N48" i="68"/>
  <c r="N44" i="68"/>
  <c r="N20" i="88"/>
  <c r="M44" i="68"/>
  <c r="J20" i="88"/>
  <c r="I20" i="88"/>
  <c r="I44" i="68"/>
  <c r="P20" i="68"/>
  <c r="C12" i="90" l="1"/>
  <c r="C12" i="91" s="1"/>
  <c r="F9" i="90"/>
  <c r="F9" i="91"/>
  <c r="N43" i="68"/>
  <c r="L102" i="68"/>
  <c r="I19" i="88"/>
  <c r="I85" i="68"/>
  <c r="I84" i="68" s="1"/>
  <c r="I83" i="68" s="1"/>
  <c r="K20" i="88"/>
  <c r="Q51" i="68"/>
  <c r="K51" i="68"/>
  <c r="O51" i="68"/>
  <c r="J56" i="68"/>
  <c r="I56" i="68"/>
  <c r="O20" i="88"/>
  <c r="Q20" i="88"/>
  <c r="P20" i="88"/>
  <c r="I61" i="68"/>
  <c r="I66" i="68"/>
  <c r="I77" i="68"/>
  <c r="I70" i="68"/>
  <c r="O94" i="68"/>
  <c r="K94" i="68"/>
  <c r="Q94" i="68"/>
  <c r="P56" i="68"/>
  <c r="N37" i="68" l="1"/>
  <c r="L17" i="88"/>
  <c r="L15" i="88" s="1"/>
  <c r="F4" i="90"/>
  <c r="F4" i="91" s="1"/>
  <c r="N42" i="68"/>
  <c r="L85" i="68"/>
  <c r="L84" i="68" s="1"/>
  <c r="I43" i="68"/>
  <c r="I17" i="88" s="1"/>
  <c r="Q48" i="68"/>
  <c r="O48" i="68"/>
  <c r="K48" i="68"/>
  <c r="P105" i="68"/>
  <c r="P104" i="68" s="1"/>
  <c r="N105" i="68"/>
  <c r="N104" i="68" s="1"/>
  <c r="M105" i="68"/>
  <c r="J105" i="68"/>
  <c r="I105" i="68"/>
  <c r="J107" i="68"/>
  <c r="J25" i="88"/>
  <c r="J24" i="88" s="1"/>
  <c r="D12" i="90" l="1"/>
  <c r="O38" i="68"/>
  <c r="I37" i="68"/>
  <c r="C4" i="90" s="1"/>
  <c r="I42" i="68"/>
  <c r="N118" i="68"/>
  <c r="P108" i="68"/>
  <c r="P107" i="68" s="1"/>
  <c r="N108" i="68"/>
  <c r="N107" i="68" s="1"/>
  <c r="M108" i="68"/>
  <c r="M107" i="68" l="1"/>
  <c r="I12" i="90"/>
  <c r="D12" i="91"/>
  <c r="I12" i="91" s="1"/>
  <c r="H12" i="90"/>
  <c r="H12" i="91" s="1"/>
  <c r="I118" i="68"/>
  <c r="N30" i="88"/>
  <c r="L30" i="88"/>
  <c r="F12" i="90" s="1"/>
  <c r="F12" i="91" s="1"/>
  <c r="J12" i="91" s="1"/>
  <c r="M30" i="88"/>
  <c r="G12" i="90" s="1"/>
  <c r="G12" i="91" s="1"/>
  <c r="I30" i="88"/>
  <c r="J30" i="88"/>
  <c r="Q108" i="68"/>
  <c r="O109" i="68"/>
  <c r="Q109" i="68"/>
  <c r="O108" i="68"/>
  <c r="O107" i="68"/>
  <c r="Q107" i="68"/>
  <c r="K108" i="68"/>
  <c r="K107" i="68"/>
  <c r="K109" i="68"/>
  <c r="J4" i="90" l="1"/>
  <c r="C4" i="91"/>
  <c r="J4" i="91" s="1"/>
  <c r="J12" i="90"/>
  <c r="M93" i="68"/>
  <c r="M92" i="68" l="1"/>
  <c r="H8" i="90"/>
  <c r="N23" i="88"/>
  <c r="H8" i="91"/>
  <c r="K97" i="68"/>
  <c r="O97" i="68"/>
  <c r="P93" i="68"/>
  <c r="P92" i="68" s="1"/>
  <c r="G8" i="90" l="1"/>
  <c r="G8" i="91" s="1"/>
  <c r="M23" i="88"/>
  <c r="I102" i="68"/>
  <c r="I101" i="68" s="1"/>
  <c r="K22" i="88" l="1"/>
  <c r="K21" i="88"/>
  <c r="L105" i="68"/>
  <c r="L104" i="68" s="1"/>
  <c r="J93" i="68"/>
  <c r="J92" i="68" s="1"/>
  <c r="D8" i="90" l="1"/>
  <c r="J23" i="88"/>
  <c r="I8" i="90"/>
  <c r="I8" i="91" s="1"/>
  <c r="D8" i="91"/>
  <c r="L61" i="68"/>
  <c r="L44" i="68"/>
  <c r="L48" i="68"/>
  <c r="L56" i="68"/>
  <c r="M89" i="68"/>
  <c r="K44" i="68"/>
  <c r="L108" i="68"/>
  <c r="L107" i="68" s="1"/>
  <c r="K30" i="88"/>
  <c r="N93" i="68"/>
  <c r="I93" i="68"/>
  <c r="E12" i="90" l="1"/>
  <c r="E12" i="91" s="1"/>
  <c r="I119" i="68"/>
  <c r="K93" i="68"/>
  <c r="M88" i="68"/>
  <c r="N92" i="68"/>
  <c r="O93" i="68"/>
  <c r="Q93" i="68"/>
  <c r="H7" i="90" l="1"/>
  <c r="F8" i="90"/>
  <c r="F8" i="91" s="1"/>
  <c r="L23" i="88"/>
  <c r="H7" i="91"/>
  <c r="H5" i="90"/>
  <c r="K92" i="68"/>
  <c r="O92" i="68"/>
  <c r="Q92" i="68"/>
  <c r="J8" i="90" l="1"/>
  <c r="J8" i="91" s="1"/>
  <c r="L93" i="68"/>
  <c r="L92" i="68" s="1"/>
  <c r="L66" i="68"/>
  <c r="E8" i="90" l="1"/>
  <c r="K23" i="88"/>
  <c r="L77" i="68"/>
  <c r="L70" i="68"/>
  <c r="E8" i="91" l="1"/>
  <c r="L43" i="68"/>
  <c r="Q23" i="88"/>
  <c r="K17" i="88" l="1"/>
  <c r="K15" i="88" s="1"/>
  <c r="E4" i="66" s="1"/>
  <c r="L37" i="68"/>
  <c r="L42" i="68"/>
  <c r="C4" i="66"/>
  <c r="M96" i="68"/>
  <c r="M95" i="68" s="1"/>
  <c r="O23" i="88"/>
  <c r="M120" i="68" l="1"/>
  <c r="H9" i="90"/>
  <c r="H9" i="91" s="1"/>
  <c r="P23" i="88"/>
  <c r="Q97" i="68"/>
  <c r="A3" i="88"/>
  <c r="M101" i="68"/>
  <c r="J102" i="68"/>
  <c r="J101" i="68" s="1"/>
  <c r="N102" i="68"/>
  <c r="P101" i="68"/>
  <c r="M85" i="68"/>
  <c r="N85" i="68"/>
  <c r="P85" i="68"/>
  <c r="P100" i="68" l="1"/>
  <c r="L118" i="68"/>
  <c r="E4" i="90"/>
  <c r="J85" i="68"/>
  <c r="Q101" i="68"/>
  <c r="M84" i="68"/>
  <c r="O102" i="68"/>
  <c r="J104" i="68"/>
  <c r="J100" i="68" s="1"/>
  <c r="J99" i="68" s="1"/>
  <c r="Q106" i="68"/>
  <c r="K50" i="68"/>
  <c r="K53" i="68"/>
  <c r="Q76" i="68"/>
  <c r="K75" i="68"/>
  <c r="K102" i="68"/>
  <c r="Q79" i="68"/>
  <c r="O103" i="68"/>
  <c r="K101" i="68"/>
  <c r="Q102" i="68"/>
  <c r="K106" i="68"/>
  <c r="K78" i="68"/>
  <c r="N101" i="68"/>
  <c r="Q103" i="68"/>
  <c r="K103" i="68"/>
  <c r="O106" i="68"/>
  <c r="M104" i="68"/>
  <c r="O72" i="68"/>
  <c r="I104" i="68"/>
  <c r="K65" i="68"/>
  <c r="Q67" i="68"/>
  <c r="O74" i="68"/>
  <c r="O82" i="68"/>
  <c r="O86" i="68"/>
  <c r="Q74" i="68"/>
  <c r="O91" i="68"/>
  <c r="Q64" i="68"/>
  <c r="K57" i="68"/>
  <c r="O64" i="68"/>
  <c r="K69" i="68"/>
  <c r="K76" i="68"/>
  <c r="O76" i="68"/>
  <c r="K68" i="68"/>
  <c r="O71" i="68"/>
  <c r="Q58" i="68"/>
  <c r="K60" i="68"/>
  <c r="Q69" i="68"/>
  <c r="O79" i="68"/>
  <c r="K81" i="68"/>
  <c r="Q65" i="68"/>
  <c r="Q91" i="68"/>
  <c r="O57" i="68"/>
  <c r="Q68" i="68"/>
  <c r="Q75" i="68"/>
  <c r="K58" i="68"/>
  <c r="O69" i="68"/>
  <c r="O80" i="68"/>
  <c r="O68" i="68"/>
  <c r="O75" i="68"/>
  <c r="K91" i="68"/>
  <c r="Q71" i="68"/>
  <c r="Q78" i="68"/>
  <c r="O67" i="68"/>
  <c r="K59" i="68"/>
  <c r="O62" i="68"/>
  <c r="K62" i="68"/>
  <c r="K67" i="68"/>
  <c r="Q73" i="68"/>
  <c r="K73" i="68"/>
  <c r="O65" i="68"/>
  <c r="Q60" i="68"/>
  <c r="P61" i="68"/>
  <c r="K63" i="68"/>
  <c r="K72" i="68"/>
  <c r="O73" i="68"/>
  <c r="K74" i="68"/>
  <c r="K86" i="68"/>
  <c r="O78" i="68"/>
  <c r="Q62" i="68"/>
  <c r="Q86" i="68"/>
  <c r="Q59" i="68"/>
  <c r="O60" i="68"/>
  <c r="Q57" i="68"/>
  <c r="O63" i="68"/>
  <c r="K64" i="68"/>
  <c r="Q72" i="68"/>
  <c r="O90" i="68"/>
  <c r="Q82" i="68"/>
  <c r="O58" i="68"/>
  <c r="Q90" i="68"/>
  <c r="K54" i="68"/>
  <c r="O54" i="68"/>
  <c r="K90" i="68"/>
  <c r="Q50" i="68"/>
  <c r="Q63" i="68"/>
  <c r="Q53" i="68"/>
  <c r="Q80" i="68"/>
  <c r="O59" i="68"/>
  <c r="O53" i="68"/>
  <c r="K71" i="68"/>
  <c r="K82" i="68"/>
  <c r="K80" i="68"/>
  <c r="K79" i="68"/>
  <c r="O50" i="68"/>
  <c r="Q54" i="68"/>
  <c r="Q81" i="68"/>
  <c r="O81" i="68"/>
  <c r="M61" i="68"/>
  <c r="J61" i="68"/>
  <c r="O45" i="68"/>
  <c r="M83" i="68" l="1"/>
  <c r="M119" i="68" s="1"/>
  <c r="H11" i="90"/>
  <c r="E4" i="91"/>
  <c r="I100" i="68"/>
  <c r="I99" i="68" s="1"/>
  <c r="C11" i="90"/>
  <c r="D11" i="90"/>
  <c r="M100" i="68"/>
  <c r="N100" i="68"/>
  <c r="N99" i="68" s="1"/>
  <c r="H5" i="91"/>
  <c r="O101" i="68"/>
  <c r="K56" i="68"/>
  <c r="K104" i="68"/>
  <c r="Q44" i="68"/>
  <c r="O44" i="68"/>
  <c r="O105" i="68"/>
  <c r="K105" i="68"/>
  <c r="Q105" i="68"/>
  <c r="Q56" i="68"/>
  <c r="Q61" i="68"/>
  <c r="O56" i="68"/>
  <c r="P84" i="68"/>
  <c r="K61" i="68"/>
  <c r="O61" i="68"/>
  <c r="M99" i="68" l="1"/>
  <c r="M113" i="68" s="1"/>
  <c r="H13" i="90"/>
  <c r="H11" i="91"/>
  <c r="H13" i="91" s="1"/>
  <c r="D13" i="90"/>
  <c r="D11" i="91"/>
  <c r="D13" i="91" s="1"/>
  <c r="C13" i="90"/>
  <c r="C11" i="91"/>
  <c r="C13" i="91" s="1"/>
  <c r="I113" i="68"/>
  <c r="I122" i="68" s="1"/>
  <c r="J113" i="68"/>
  <c r="J122" i="68" s="1"/>
  <c r="K100" i="68"/>
  <c r="Q104" i="68"/>
  <c r="O104" i="68"/>
  <c r="M122" i="68" l="1"/>
  <c r="I13" i="91"/>
  <c r="I11" i="91"/>
  <c r="I13" i="90"/>
  <c r="I11" i="90"/>
  <c r="K99" i="68"/>
  <c r="L96" i="68"/>
  <c r="O100" i="68"/>
  <c r="P99" i="68"/>
  <c r="Q100" i="68"/>
  <c r="E9" i="90" l="1"/>
  <c r="E9" i="91" s="1"/>
  <c r="L95" i="68"/>
  <c r="L120" i="68"/>
  <c r="K122" i="68"/>
  <c r="K113" i="68"/>
  <c r="Q99" i="68"/>
  <c r="P113" i="68"/>
  <c r="N113" i="68"/>
  <c r="O99" i="68"/>
  <c r="Q113" i="68" l="1"/>
  <c r="P122" i="68"/>
  <c r="Q122" i="68" s="1"/>
  <c r="O113" i="68"/>
  <c r="N122" i="68"/>
  <c r="O122" i="68" s="1"/>
  <c r="B8" i="66"/>
  <c r="I96" i="68" l="1"/>
  <c r="I95" i="68" s="1"/>
  <c r="C9" i="90" l="1"/>
  <c r="K45" i="68"/>
  <c r="Q45" i="68"/>
  <c r="J9" i="90" l="1"/>
  <c r="C9" i="91"/>
  <c r="J9" i="91" s="1"/>
  <c r="Q85" i="68"/>
  <c r="J84" i="68"/>
  <c r="K85" i="68"/>
  <c r="N84" i="68"/>
  <c r="O85" i="68"/>
  <c r="F4" i="66" l="1"/>
  <c r="Q84" i="68"/>
  <c r="O84" i="68"/>
  <c r="K84" i="68"/>
  <c r="O30" i="88" l="1"/>
  <c r="Q30" i="88"/>
  <c r="P30" i="88"/>
  <c r="L101" i="68" l="1"/>
  <c r="E11" i="90" s="1"/>
  <c r="L100" i="68" l="1"/>
  <c r="L99" i="68" s="1"/>
  <c r="L89" i="68"/>
  <c r="O43" i="68"/>
  <c r="E13" i="90" l="1"/>
  <c r="E11" i="91"/>
  <c r="E13" i="91" s="1"/>
  <c r="L113" i="68"/>
  <c r="L122" i="68" s="1"/>
  <c r="L19" i="68"/>
  <c r="L88" i="68"/>
  <c r="L10" i="68"/>
  <c r="D162" i="88"/>
  <c r="A35" i="88"/>
  <c r="H25" i="88"/>
  <c r="H24" i="88"/>
  <c r="L83" i="68" l="1"/>
  <c r="E7" i="90"/>
  <c r="E5" i="90" s="1"/>
  <c r="M29" i="88"/>
  <c r="G11" i="90" s="1"/>
  <c r="L29" i="88"/>
  <c r="N29" i="88"/>
  <c r="J29" i="88"/>
  <c r="I29" i="88"/>
  <c r="I27" i="88" s="1"/>
  <c r="N28" i="88"/>
  <c r="J28" i="88"/>
  <c r="L119" i="68" l="1"/>
  <c r="E7" i="91"/>
  <c r="G13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1" i="90" s="1"/>
  <c r="E5" i="91" l="1"/>
  <c r="F13" i="90"/>
  <c r="F11" i="91"/>
  <c r="F13" i="91" s="1"/>
  <c r="J13" i="91" s="1"/>
  <c r="G8" i="66"/>
  <c r="L27" i="88"/>
  <c r="H8" i="66"/>
  <c r="C8" i="66"/>
  <c r="D8" i="66"/>
  <c r="Q28" i="88"/>
  <c r="P28" i="88"/>
  <c r="K29" i="88"/>
  <c r="K28" i="88"/>
  <c r="O12" i="68"/>
  <c r="J11" i="91" l="1"/>
  <c r="F8" i="66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M27" i="68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7" i="68"/>
  <c r="P77" i="68"/>
  <c r="Q77" i="68" s="1"/>
  <c r="N28" i="68"/>
  <c r="P96" i="68"/>
  <c r="J66" i="68"/>
  <c r="J28" i="68"/>
  <c r="M66" i="68"/>
  <c r="J70" i="68"/>
  <c r="K70" i="68" s="1"/>
  <c r="J77" i="68"/>
  <c r="K77" i="68" s="1"/>
  <c r="J96" i="68"/>
  <c r="P66" i="68"/>
  <c r="M19" i="68"/>
  <c r="N89" i="68"/>
  <c r="P22" i="88" s="1"/>
  <c r="I120" i="68"/>
  <c r="P89" i="68"/>
  <c r="Q22" i="88" s="1"/>
  <c r="O66" i="68"/>
  <c r="O70" i="68"/>
  <c r="P70" i="68"/>
  <c r="Q70" i="68" s="1"/>
  <c r="J89" i="68"/>
  <c r="O22" i="88" s="1"/>
  <c r="M77" i="68"/>
  <c r="N12" i="88" l="1"/>
  <c r="N11" i="88"/>
  <c r="N13" i="88"/>
  <c r="J95" i="68"/>
  <c r="I9" i="68"/>
  <c r="C3" i="90" s="1"/>
  <c r="D9" i="90"/>
  <c r="M43" i="68"/>
  <c r="J43" i="68"/>
  <c r="J9" i="68"/>
  <c r="J8" i="68" s="1"/>
  <c r="P43" i="68"/>
  <c r="P38" i="68"/>
  <c r="P37" i="68" s="1"/>
  <c r="M9" i="68"/>
  <c r="C6" i="66"/>
  <c r="I11" i="88"/>
  <c r="Q66" i="68"/>
  <c r="O24" i="88"/>
  <c r="Q25" i="88"/>
  <c r="M24" i="88"/>
  <c r="P9" i="68"/>
  <c r="P8" i="68" s="1"/>
  <c r="K66" i="68"/>
  <c r="I13" i="88"/>
  <c r="I12" i="88"/>
  <c r="P25" i="88"/>
  <c r="O19" i="88"/>
  <c r="K11" i="68"/>
  <c r="J11" i="88"/>
  <c r="K96" i="68"/>
  <c r="J88" i="68"/>
  <c r="D7" i="90" s="1"/>
  <c r="K89" i="68"/>
  <c r="J13" i="88"/>
  <c r="K27" i="68"/>
  <c r="J12" i="88"/>
  <c r="K19" i="68"/>
  <c r="K28" i="68"/>
  <c r="Q19" i="68"/>
  <c r="Q89" i="68"/>
  <c r="O89" i="68"/>
  <c r="P95" i="68"/>
  <c r="Q96" i="68"/>
  <c r="L13" i="88"/>
  <c r="O27" i="68"/>
  <c r="M11" i="88"/>
  <c r="Q28" i="68"/>
  <c r="O28" i="68"/>
  <c r="L11" i="88"/>
  <c r="L12" i="88"/>
  <c r="O19" i="68"/>
  <c r="O96" i="68"/>
  <c r="O11" i="68"/>
  <c r="M13" i="88"/>
  <c r="Q27" i="68"/>
  <c r="N9" i="68"/>
  <c r="N88" i="68"/>
  <c r="P88" i="68"/>
  <c r="M8" i="68" l="1"/>
  <c r="I10" i="88"/>
  <c r="M37" i="68"/>
  <c r="H4" i="90" s="1"/>
  <c r="N17" i="88"/>
  <c r="P42" i="68"/>
  <c r="M17" i="88"/>
  <c r="M15" i="88" s="1"/>
  <c r="G4" i="66" s="1"/>
  <c r="J37" i="68"/>
  <c r="D4" i="90" s="1"/>
  <c r="J17" i="88"/>
  <c r="J15" i="88" s="1"/>
  <c r="D7" i="91"/>
  <c r="D5" i="90"/>
  <c r="I9" i="90"/>
  <c r="D9" i="91"/>
  <c r="I9" i="91" s="1"/>
  <c r="P83" i="68"/>
  <c r="G7" i="90"/>
  <c r="G5" i="90" s="1"/>
  <c r="N83" i="68"/>
  <c r="F7" i="90"/>
  <c r="I7" i="90"/>
  <c r="I7" i="91" s="1"/>
  <c r="G3" i="90"/>
  <c r="G3" i="91" s="1"/>
  <c r="D3" i="90"/>
  <c r="D3" i="91" s="1"/>
  <c r="H3" i="90"/>
  <c r="H3" i="91" s="1"/>
  <c r="G9" i="90"/>
  <c r="G9" i="91" s="1"/>
  <c r="C10" i="90"/>
  <c r="Q38" i="68"/>
  <c r="M42" i="68"/>
  <c r="K38" i="68"/>
  <c r="J42" i="68"/>
  <c r="K42" i="68" s="1"/>
  <c r="Q43" i="68"/>
  <c r="N10" i="88"/>
  <c r="H3" i="66" s="1"/>
  <c r="Q10" i="68"/>
  <c r="M117" i="68"/>
  <c r="I8" i="68"/>
  <c r="I117" i="68" s="1"/>
  <c r="K10" i="68"/>
  <c r="O10" i="68"/>
  <c r="Q24" i="88"/>
  <c r="M10" i="88"/>
  <c r="G3" i="66" s="1"/>
  <c r="L10" i="88"/>
  <c r="J10" i="88"/>
  <c r="J83" i="68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5" i="68"/>
  <c r="J120" i="68"/>
  <c r="K120" i="68" s="1"/>
  <c r="K88" i="68"/>
  <c r="K9" i="68"/>
  <c r="O25" i="88"/>
  <c r="O88" i="68"/>
  <c r="N8" i="68"/>
  <c r="O9" i="68"/>
  <c r="Q9" i="68"/>
  <c r="N120" i="68"/>
  <c r="O120" i="68" s="1"/>
  <c r="O95" i="68"/>
  <c r="Q88" i="68"/>
  <c r="Q83" i="68" s="1"/>
  <c r="O37" i="68"/>
  <c r="P120" i="68"/>
  <c r="Q120" i="68" s="1"/>
  <c r="Q95" i="68"/>
  <c r="G6" i="66"/>
  <c r="F7" i="91" l="1"/>
  <c r="F5" i="90"/>
  <c r="D5" i="91"/>
  <c r="D10" i="90"/>
  <c r="H4" i="91"/>
  <c r="H10" i="90"/>
  <c r="H14" i="90" s="1"/>
  <c r="H16" i="90" s="1"/>
  <c r="G7" i="91"/>
  <c r="I4" i="90"/>
  <c r="D4" i="91"/>
  <c r="I4" i="91" s="1"/>
  <c r="C14" i="90"/>
  <c r="C16" i="90" s="1"/>
  <c r="C3" i="91"/>
  <c r="I3" i="91" s="1"/>
  <c r="J7" i="90"/>
  <c r="J7" i="91" s="1"/>
  <c r="F3" i="90"/>
  <c r="I3" i="90"/>
  <c r="I26" i="88"/>
  <c r="I33" i="88" s="1"/>
  <c r="C3" i="66"/>
  <c r="C7" i="66" s="1"/>
  <c r="I98" i="68"/>
  <c r="H4" i="66"/>
  <c r="G4" i="90"/>
  <c r="G4" i="91" s="1"/>
  <c r="Q42" i="68"/>
  <c r="O42" i="68"/>
  <c r="Q37" i="68"/>
  <c r="M98" i="68"/>
  <c r="T98" i="68" s="1"/>
  <c r="J118" i="68"/>
  <c r="M26" i="88"/>
  <c r="M118" i="68"/>
  <c r="N98" i="68"/>
  <c r="O21" i="88"/>
  <c r="D5" i="66"/>
  <c r="P21" i="88"/>
  <c r="F5" i="66"/>
  <c r="J5" i="66" s="1"/>
  <c r="Q21" i="88"/>
  <c r="G5" i="66"/>
  <c r="K37" i="68"/>
  <c r="O83" i="68"/>
  <c r="Q10" i="88"/>
  <c r="K83" i="68"/>
  <c r="P10" i="88"/>
  <c r="O10" i="88"/>
  <c r="D3" i="66"/>
  <c r="F3" i="66"/>
  <c r="Q17" i="88"/>
  <c r="P17" i="88"/>
  <c r="P98" i="68"/>
  <c r="P118" i="68"/>
  <c r="Q8" i="68"/>
  <c r="P117" i="68"/>
  <c r="O8" i="68"/>
  <c r="N117" i="68"/>
  <c r="K8" i="68"/>
  <c r="J117" i="68"/>
  <c r="N119" i="68"/>
  <c r="J119" i="68"/>
  <c r="P119" i="68"/>
  <c r="M121" i="68" l="1"/>
  <c r="H10" i="91"/>
  <c r="H14" i="91" s="1"/>
  <c r="H16" i="91" s="1"/>
  <c r="C10" i="91"/>
  <c r="C14" i="91" s="1"/>
  <c r="C16" i="91" s="1"/>
  <c r="F5" i="91"/>
  <c r="F10" i="90"/>
  <c r="J10" i="90" s="1"/>
  <c r="G5" i="91"/>
  <c r="G10" i="91" s="1"/>
  <c r="G14" i="91" s="1"/>
  <c r="G16" i="91" s="1"/>
  <c r="G10" i="90"/>
  <c r="G14" i="90" s="1"/>
  <c r="G16" i="90" s="1"/>
  <c r="J5" i="90"/>
  <c r="I5" i="91"/>
  <c r="D10" i="91"/>
  <c r="J3" i="90"/>
  <c r="F3" i="91"/>
  <c r="I5" i="90"/>
  <c r="D14" i="90"/>
  <c r="D16" i="90" s="1"/>
  <c r="O117" i="68"/>
  <c r="Q117" i="68"/>
  <c r="K117" i="68"/>
  <c r="D4" i="66"/>
  <c r="O98" i="68"/>
  <c r="Q98" i="68"/>
  <c r="J3" i="66"/>
  <c r="I121" i="68"/>
  <c r="I123" i="68" s="1"/>
  <c r="O17" i="88"/>
  <c r="M33" i="88"/>
  <c r="Q18" i="88"/>
  <c r="P18" i="88"/>
  <c r="O18" i="88"/>
  <c r="I5" i="66"/>
  <c r="J98" i="68"/>
  <c r="K98" i="68" s="1"/>
  <c r="K118" i="68"/>
  <c r="P15" i="88"/>
  <c r="K119" i="68"/>
  <c r="O119" i="68"/>
  <c r="D6" i="66"/>
  <c r="I6" i="66" s="1"/>
  <c r="Q15" i="88"/>
  <c r="Q118" i="68"/>
  <c r="P121" i="68"/>
  <c r="P123" i="68" s="1"/>
  <c r="Q119" i="68"/>
  <c r="O118" i="68"/>
  <c r="N121" i="68"/>
  <c r="N123" i="68" s="1"/>
  <c r="I3" i="66"/>
  <c r="C10" i="66"/>
  <c r="C12" i="66" s="1"/>
  <c r="L26" i="88"/>
  <c r="L33" i="88" s="1"/>
  <c r="M123" i="68" l="1"/>
  <c r="J5" i="91"/>
  <c r="F10" i="91"/>
  <c r="F14" i="91" s="1"/>
  <c r="J3" i="91"/>
  <c r="I10" i="90"/>
  <c r="D14" i="91"/>
  <c r="I10" i="91"/>
  <c r="F14" i="90"/>
  <c r="J14" i="90" s="1"/>
  <c r="I16" i="90"/>
  <c r="I14" i="90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3" i="68"/>
  <c r="J121" i="68"/>
  <c r="J123" i="68" s="1"/>
  <c r="Q123" i="68"/>
  <c r="J26" i="88"/>
  <c r="J33" i="88" s="1"/>
  <c r="P26" i="88"/>
  <c r="Q121" i="68"/>
  <c r="O121" i="68"/>
  <c r="Q26" i="88"/>
  <c r="K19" i="88"/>
  <c r="K18" i="88" s="1"/>
  <c r="K25" i="88"/>
  <c r="J10" i="91" l="1"/>
  <c r="F16" i="91"/>
  <c r="J16" i="91" s="1"/>
  <c r="J14" i="91"/>
  <c r="D16" i="91"/>
  <c r="I16" i="91" s="1"/>
  <c r="I14" i="91"/>
  <c r="F16" i="90"/>
  <c r="J16" i="90" s="1"/>
  <c r="K123" i="68"/>
  <c r="F10" i="66"/>
  <c r="F12" i="66" s="1"/>
  <c r="J12" i="66" s="1"/>
  <c r="J7" i="66"/>
  <c r="K24" i="88"/>
  <c r="O33" i="88"/>
  <c r="I4" i="66"/>
  <c r="K121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L98" i="68" s="1"/>
  <c r="K11" i="88"/>
  <c r="K10" i="88" s="1"/>
  <c r="E3" i="66" s="1"/>
  <c r="E3" i="90" l="1"/>
  <c r="E10" i="90" s="1"/>
  <c r="L117" i="68"/>
  <c r="L121" i="68" s="1"/>
  <c r="L123" i="68" s="1"/>
  <c r="N26" i="88"/>
  <c r="N33" i="88" s="1"/>
  <c r="H7" i="66"/>
  <c r="H10" i="66" s="1"/>
  <c r="H12" i="66" s="1"/>
  <c r="E14" i="90" l="1"/>
  <c r="E3" i="91"/>
  <c r="K26" i="88"/>
  <c r="K33" i="88" s="1"/>
  <c r="E7" i="66"/>
  <c r="E10" i="66" s="1"/>
  <c r="E12" i="66" s="1"/>
  <c r="E10" i="91" l="1"/>
  <c r="E14" i="91" s="1"/>
  <c r="E16" i="91" s="1"/>
  <c r="E16" i="90"/>
  <c r="E6" i="74"/>
  <c r="D6" i="74"/>
  <c r="F5" i="74"/>
  <c r="F4" i="74"/>
  <c r="F3" i="74"/>
  <c r="F6" i="74" l="1"/>
  <c r="Q11" i="68"/>
  <c r="L5" i="9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PAOLA.ROJASM</author>
    <author>CARLOS.HIGUERA</author>
  </authors>
  <commentList>
    <comment ref="F5" authorId="0" shapeId="0" xr:uid="{2FEEA8AC-985A-4316-AC5D-A2E0BA193075}">
      <text>
        <r>
          <rPr>
            <b/>
            <sz val="9"/>
            <color indexed="81"/>
            <rFont val="Tahoma"/>
            <family val="2"/>
          </rPr>
          <t xml:space="preserve">proyectores e impresoras
</t>
        </r>
      </text>
    </comment>
    <comment ref="K6" authorId="1" shapeId="0" xr:uid="{FCA70928-A01C-4D1A-BCE7-C9C808803A6E}">
      <text>
        <r>
          <rPr>
            <b/>
            <sz val="9"/>
            <color indexed="81"/>
            <rFont val="Tahoma"/>
            <family val="2"/>
          </rPr>
          <t>CARLOS.HIGUERA:</t>
        </r>
        <r>
          <rPr>
            <sz val="9"/>
            <color indexed="81"/>
            <rFont val="Tahoma"/>
            <family val="2"/>
          </rPr>
          <t xml:space="preserve">
4 meses
</t>
        </r>
      </text>
    </comment>
    <comment ref="F11" authorId="0" shapeId="0" xr:uid="{DB6FE376-26CC-4104-8219-6F06AA8143C5}">
      <text>
        <r>
          <rPr>
            <b/>
            <sz val="9"/>
            <color indexed="81"/>
            <rFont val="Tahoma"/>
            <family val="2"/>
          </rPr>
          <t>Licencias ArcGis</t>
        </r>
      </text>
    </comment>
    <comment ref="D12" authorId="0" shapeId="0" xr:uid="{B2A5808F-5674-4F9D-9849-00162A1BF502}">
      <text>
        <r>
          <rPr>
            <b/>
            <sz val="9"/>
            <color indexed="81"/>
            <rFont val="Tahoma"/>
            <family val="2"/>
          </rPr>
          <t xml:space="preserve">papeleria
</t>
        </r>
      </text>
    </comment>
    <comment ref="F12" authorId="0" shapeId="0" xr:uid="{40722E82-F8AA-4700-9888-38D090B4520E}">
      <text>
        <r>
          <rPr>
            <b/>
            <sz val="9"/>
            <color indexed="81"/>
            <rFont val="Tahoma"/>
            <family val="2"/>
          </rPr>
          <t>papelería</t>
        </r>
      </text>
    </comment>
    <comment ref="B19" authorId="0" shapeId="0" xr:uid="{88EAC08A-FF75-45D1-B9D7-7FD4C170C3AF}">
      <text>
        <r>
          <rPr>
            <b/>
            <sz val="9"/>
            <color indexed="81"/>
            <rFont val="Tahoma"/>
            <family val="2"/>
          </rPr>
          <t>cdp 22125</t>
        </r>
      </text>
    </comment>
    <comment ref="D19" authorId="0" shapeId="0" xr:uid="{AB067D69-F56C-40C9-8829-F200926D6346}">
      <text>
        <r>
          <rPr>
            <b/>
            <sz val="9"/>
            <color indexed="81"/>
            <rFont val="Tahoma"/>
            <family val="2"/>
          </rPr>
          <t>CDP29125</t>
        </r>
        <r>
          <rPr>
            <sz val="9"/>
            <color indexed="81"/>
            <rFont val="Tahoma"/>
            <family val="2"/>
          </rPr>
          <t xml:space="preserve">
CDP 25525
CDP20125
CDP20625</t>
        </r>
      </text>
    </comment>
    <comment ref="B39" authorId="0" shapeId="0" xr:uid="{70E98E82-04FE-45D7-8EF9-4158E2531130}">
      <text>
        <r>
          <rPr>
            <sz val="9"/>
            <color indexed="81"/>
            <rFont val="Tahoma"/>
            <family val="2"/>
          </rPr>
          <t xml:space="preserve">CDP 22225
</t>
        </r>
      </text>
    </comment>
    <comment ref="B40" authorId="0" shapeId="0" xr:uid="{C028642B-FFE4-432D-9409-D205A0E24D7D}">
      <text>
        <r>
          <rPr>
            <b/>
            <sz val="9"/>
            <color indexed="81"/>
            <rFont val="Tahoma"/>
            <family val="2"/>
          </rPr>
          <t>CDP 22225</t>
        </r>
      </text>
    </comment>
    <comment ref="B46" authorId="0" shapeId="0" xr:uid="{36D8F853-B9B7-4A33-9789-AC5F4B44279A}">
      <text>
        <r>
          <rPr>
            <b/>
            <sz val="9"/>
            <color indexed="81"/>
            <rFont val="Tahoma"/>
            <family val="2"/>
          </rPr>
          <t>CDP BID 2125</t>
        </r>
      </text>
    </comment>
    <comment ref="B47" authorId="0" shapeId="0" xr:uid="{E3D5AAA2-6BC9-422B-863A-4C8CAA8ED13D}">
      <text>
        <r>
          <rPr>
            <b/>
            <sz val="9"/>
            <color indexed="81"/>
            <rFont val="Tahoma"/>
            <family val="2"/>
          </rPr>
          <t>CDP BID 2125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764BADE3-6D14-4142-AD45-35625CB3188B}">
      <text>
        <r>
          <rPr>
            <b/>
            <sz val="9"/>
            <color indexed="81"/>
            <rFont val="Tahoma"/>
            <family val="2"/>
          </rPr>
          <t xml:space="preserve">anulación CDP del item 109
</t>
        </r>
      </text>
    </comment>
  </commentList>
</comments>
</file>

<file path=xl/sharedStrings.xml><?xml version="1.0" encoding="utf-8"?>
<sst xmlns="http://schemas.openxmlformats.org/spreadsheetml/2006/main" count="1879" uniqueCount="363">
  <si>
    <t>SECCIÓN: 12-10-00 UNIDAD ADMINISTRATIVA ESPECIAL AGENCIA NACIONAL DE DEFENSA JURIDICA DEL ESTADO</t>
  </si>
  <si>
    <t xml:space="preserve">REPORTE DE EJECUCIÓN PRESUPUESTAL  </t>
  </si>
  <si>
    <t xml:space="preserve"> </t>
  </si>
  <si>
    <t>T</t>
  </si>
  <si>
    <t>X</t>
  </si>
  <si>
    <t>AB/AC</t>
  </si>
  <si>
    <t>W</t>
  </si>
  <si>
    <t>Y</t>
  </si>
  <si>
    <t>AA</t>
  </si>
  <si>
    <t>CTA</t>
  </si>
  <si>
    <t>SUB
CTA</t>
  </si>
  <si>
    <t>OBJ</t>
  </si>
  <si>
    <t>ORD</t>
  </si>
  <si>
    <t>SOR
ORD</t>
  </si>
  <si>
    <t>ITEM</t>
  </si>
  <si>
    <t>SUB
ITEM</t>
  </si>
  <si>
    <t>DESCRIPCION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</si>
  <si>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</si>
  <si>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</si>
  <si>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</si>
  <si>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</si>
  <si>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</si>
  <si>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OBLIGACIONES</t>
  </si>
  <si>
    <t>% OBLIGACIONES</t>
  </si>
  <si>
    <t>PAGOS</t>
  </si>
  <si>
    <t>% PAGOS</t>
  </si>
  <si>
    <t>GASTOS DE PERSONAL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</si>
  <si>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</si>
  <si>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</si>
  <si>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</si>
  <si>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</si>
  <si>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</si>
  <si>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</si>
  <si>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</si>
  <si>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</si>
  <si>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</si>
  <si>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</si>
  <si>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</si>
  <si>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</si>
  <si>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</si>
  <si>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</si>
  <si>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</si>
  <si>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</si>
  <si>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</si>
  <si>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</si>
  <si>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</si>
  <si>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</si>
  <si>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</si>
  <si>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</si>
  <si>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</si>
  <si>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</si>
  <si>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</si>
  <si>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</si>
  <si>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</si>
  <si>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</si>
  <si>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</si>
  <si>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</si>
  <si>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</si>
  <si>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</si>
  <si>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/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</si>
  <si>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</si>
  <si>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</si>
  <si>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</si>
  <si>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</si>
  <si>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</si>
  <si>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 xml:space="preserve">ESTÍMULOS A LOS EMPLEADOS DEL ESTADO </t>
  </si>
  <si>
    <t>016</t>
  </si>
  <si>
    <t>PRIMA DE COORDINACIÓN</t>
  </si>
  <si>
    <t>030</t>
  </si>
  <si>
    <t>BONIFICACIÓN DE DIRECCIÓN</t>
  </si>
  <si>
    <t>OTROS GASTOS DE PERSONAL - DISTRIBUCIÓN PREVIO CONCEPTO DGPPN</t>
  </si>
  <si>
    <t>ADQUISICIÓN DE BIENES  Y SERVICIOS</t>
  </si>
  <si>
    <t>ADQUISICIONES DIFERENTES DE ACTIVOS</t>
  </si>
  <si>
    <t xml:space="preserve">ACTIVOS FIJOS </t>
  </si>
  <si>
    <t xml:space="preserve">MAQUINARIA Y EQUIPO </t>
  </si>
  <si>
    <t>EQUIPO Y APARATOS DE RADIO, TELEVISIÓN Y COMUNICACIÓNES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</si>
  <si>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</si>
  <si>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</si>
  <si>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</si>
  <si>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HILADOS E HILOS; TEJIDOS DE FIBRAS TEXTILES INCLUSO AFELPADOS</t>
  </si>
  <si>
    <t>ARTÍCULOS TEXTILES (EXCEPTO PRENDAS DE VESTIR)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</si>
  <si>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</si>
  <si>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</si>
  <si>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</si>
  <si>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</si>
  <si>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</si>
  <si>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</si>
  <si>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</si>
  <si>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</si>
  <si>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</si>
  <si>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</si>
  <si>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Y APARATOS ELÉCTRICOS</t>
  </si>
  <si>
    <t>EQUIPO Y APARATOS DE RADIO, TELEVISIÓN Y COMUNICACIONES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</si>
  <si>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</si>
  <si>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</si>
  <si>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</si>
  <si>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</si>
  <si>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</si>
  <si>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</si>
  <si>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</si>
  <si>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</si>
  <si>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</si>
  <si>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</si>
  <si>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</si>
  <si>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</si>
  <si>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</si>
  <si>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</si>
  <si>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</si>
  <si>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</si>
  <si>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</si>
  <si>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</si>
  <si>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</si>
  <si>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</si>
  <si>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</si>
  <si>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</si>
  <si>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</si>
  <si>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</si>
  <si>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</si>
  <si>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</si>
  <si>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DEFENSA DE LOS INTERESES DEL ESTADO EN CONTROVERSIAS INTERNACIONALES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</si>
  <si>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</si>
  <si>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</si>
  <si>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</si>
  <si>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</si>
  <si>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</si>
  <si>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(NO DE PENSIONES)</t>
  </si>
  <si>
    <t>LICENCIAS DE MATERNIDAD Y PATERNIDAD (NO DE PENSIONES)</t>
  </si>
  <si>
    <t>SENTENCIAS Y CONCILIACIONES</t>
  </si>
  <si>
    <t>FALLOS INTERNACIONALES</t>
  </si>
  <si>
    <t>FALLOS JUDICIALES, DECISIONES CUASIJUDICIALES Y SOLUCIONES AMISTOSAS SISTEMA INTERAMERICANO DE DERECHOS HUMANOS</t>
  </si>
  <si>
    <t>08</t>
  </si>
  <si>
    <t>GASTOS POR TRIBUTOS, MULTAS, SANCIONES E INTERESES DE MORA</t>
  </si>
  <si>
    <t>CONTRIBUCIONES</t>
  </si>
  <si>
    <t>CUOTA DE FISCALIZACIÓN Y AUDITAJE</t>
  </si>
  <si>
    <t>A</t>
  </si>
  <si>
    <t>TOTAL FUNCIONAMIENTO</t>
  </si>
  <si>
    <t>1205</t>
  </si>
  <si>
    <t>0800</t>
  </si>
  <si>
    <t>IMPLEMENTACION DEL PROGRAMA DE FORTALECIMIENTO DE LA AGENCIA DE DEFENSA JURIDICA A NIVEL NACIONAL</t>
  </si>
  <si>
    <t>20110E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</si>
  <si>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</si>
  <si>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</si>
  <si>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</si>
  <si>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FORTALECIMIENTO DE LAS CAPACIDADES DE LA ANDJE PARA MEJORAR LA EFICIENCIA DE LAS ENTIDADES DEL NIVEL NACIONAL QUE HACEN PARTE DEL SISTEMA DE DEFENSA JURÍDICA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</si>
  <si>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</si>
  <si>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</si>
  <si>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FORTALECIMIENTO DE LA GESTIÓN DEL CONOCIMIENTO BASADO EN EVIDENCIA DEL SISTEMA DE DEFENSA JURÍDICA DEL ESTADO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</si>
  <si>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</si>
  <si>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</si>
  <si>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FORTALECIMIENTO DE LA GESTION DEL CONOCIMIENTO BASADO EN EVIDENCIA DEL SISTEMA DE DEFENSA JURIDICA DEL ESTADO</t>
  </si>
  <si>
    <t>ADMINISTRACIÓN Y OTROS GASTOS CONTINGENTES</t>
  </si>
  <si>
    <t>C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</si>
  <si>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</si>
  <si>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</si>
  <si>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</si>
  <si>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</si>
  <si>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INVERSIÓN</t>
  </si>
  <si>
    <t>TOTAL GENERAL</t>
  </si>
  <si>
    <t>Fuente: SIIF-NACIÓN</t>
  </si>
  <si>
    <t>Coordinador (a) Grupo Gestión Administrativa, Financiera</t>
  </si>
  <si>
    <t>CONCEPTO</t>
  </si>
  <si>
    <t>APROPIACIÓN VIGENTE</t>
  </si>
  <si>
    <t>COMPROMISOS</t>
  </si>
  <si>
    <t>CDP POR 
COMPROMETER</t>
  </si>
  <si>
    <t>APROPIACIÓN DISPONIBLE</t>
  </si>
  <si>
    <t xml:space="preserve"> % EJECUCIÓN</t>
  </si>
  <si>
    <t>% EJEC OBLIGA.</t>
  </si>
  <si>
    <t>% EJEC PAG.</t>
  </si>
  <si>
    <t>ADQUISICIÓN DE ACTIVOS NO FINANCIEROS</t>
  </si>
  <si>
    <t>A - TOTAL FUNCIONAMIENTO</t>
  </si>
  <si>
    <t>1205005</t>
  </si>
  <si>
    <t>FORTALECIMIENTO DE LAS CAPACIDADES DE LA ANDJE PARA MEJORAR LA EFICIENCIA DE LAS ENTIDADES DEL NIVEL NACIONAL QUE HACEN PARTE DEL SISTEMA DE DEFENSA JURIDICA.</t>
  </si>
  <si>
    <t>1205007</t>
  </si>
  <si>
    <t>1205008</t>
  </si>
  <si>
    <t>C - TOTAL INVERSION</t>
  </si>
  <si>
    <t>TOTAL PRESUPUESTO</t>
  </si>
  <si>
    <t>Apropiaciones Bloqueadas por Ministerio de Hacienda</t>
  </si>
  <si>
    <t>% EJEC COMPROMISOS</t>
  </si>
  <si>
    <t>% EJEC OBLIGACIONES</t>
  </si>
  <si>
    <t xml:space="preserve">ADQUISICION DE BIENES Y SERVICIOS   </t>
  </si>
  <si>
    <t>TRANSFERENCIAS</t>
  </si>
  <si>
    <t>APROPIACIÓN BLOQUEADA</t>
  </si>
  <si>
    <t xml:space="preserve">TOTAL PRESUPUESTO 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</si>
  <si>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</si>
  <si>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</si>
  <si>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</si>
  <si>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</si>
  <si>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</si>
  <si>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</si>
  <si>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</si>
  <si>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</si>
  <si>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</si>
  <si>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</si>
  <si>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</si>
  <si>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</si>
  <si>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</si>
  <si>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</si>
  <si>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</si>
  <si>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</si>
  <si>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</si>
  <si>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</si>
  <si>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</si>
  <si>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</si>
  <si>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</si>
  <si>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</si>
  <si>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12-10-00</t>
  </si>
  <si>
    <t>UNIDAD ADMINISTRATIVA ESPECIAL AGENCIA NACIONAL DE DEFENSA JURÍDICA DEL ESTADO</t>
  </si>
  <si>
    <t>A-01-01-01</t>
  </si>
  <si>
    <t>Nación</t>
  </si>
  <si>
    <t>10</t>
  </si>
  <si>
    <t>CSF</t>
  </si>
  <si>
    <t>A-01-01-02</t>
  </si>
  <si>
    <t>A-01-01-03</t>
  </si>
  <si>
    <t>A-01-01-04</t>
  </si>
  <si>
    <t>A-02</t>
  </si>
  <si>
    <t>A-03-03-01-078</t>
  </si>
  <si>
    <t>078</t>
  </si>
  <si>
    <t>A-03-03-01-999</t>
  </si>
  <si>
    <t>999</t>
  </si>
  <si>
    <t>A-03-04-02-012</t>
  </si>
  <si>
    <t>INCAPACIDADES Y LICENCIAS DE MATERNIDAD Y PATERNIDAD (NO DE PENSIONES)</t>
  </si>
  <si>
    <t>A-03-10</t>
  </si>
  <si>
    <t>A-08-04-01</t>
  </si>
  <si>
    <t>11</t>
  </si>
  <si>
    <t>SSF</t>
  </si>
  <si>
    <t>C-1205-0800-3-20110E</t>
  </si>
  <si>
    <t>3</t>
  </si>
  <si>
    <t>2. SEGURIDAD HUMANA Y JUSTICIA SOCIAL / E. SISTEMA NACIONAL DE DEFENSA JURÍDICA DEL ESTADO</t>
  </si>
  <si>
    <t>14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</si>
  <si>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</si>
  <si>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</si>
  <si>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</si>
  <si>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</si>
  <si>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</si>
  <si>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</si>
  <si>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</si>
  <si>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</si>
  <si>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</si>
  <si>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</si>
  <si>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</si>
  <si>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</si>
  <si>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</si>
  <si>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</si>
  <si>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</si>
  <si>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</si>
  <si>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</si>
  <si>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</si>
  <si>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</si>
  <si>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</si>
  <si>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</si>
  <si>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</si>
  <si>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</si>
  <si>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A-02-01-01-004-007</t>
  </si>
  <si>
    <t>A-02-02-01-002-003</t>
  </si>
  <si>
    <t>A-02-02-01-002-006</t>
  </si>
  <si>
    <t>A-02-02-01-002-007</t>
  </si>
  <si>
    <t>A-02-02-01-003-001</t>
  </si>
  <si>
    <t>A-02-02-01-003-002</t>
  </si>
  <si>
    <t>PASTA O PULPA, PAPEL Y PRODUCTOS DE PAPEL; IMPRESOS Y ARTÍCULOS SIMILARES</t>
  </si>
  <si>
    <t>A-02-02-01-003-003</t>
  </si>
  <si>
    <t>A-02-02-01-003-004</t>
  </si>
  <si>
    <t>A-02-02-01-003-005</t>
  </si>
  <si>
    <t>A-02-02-01-003-006</t>
  </si>
  <si>
    <t>A-02-02-01-003-008</t>
  </si>
  <si>
    <t>A-02-02-01-004-002</t>
  </si>
  <si>
    <t>A-02-02-01-004-006</t>
  </si>
  <si>
    <t>A-02-02-01-004-007</t>
  </si>
  <si>
    <t>A-02-02-01-004-008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</si>
  <si>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</si>
  <si>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</si>
  <si>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</si>
  <si>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</si>
  <si>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</si>
  <si>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</si>
  <si>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</si>
  <si>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</si>
  <si>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</si>
  <si>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</si>
  <si>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</si>
  <si>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</si>
  <si>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</si>
  <si>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</si>
  <si>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</si>
  <si>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</si>
  <si>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</si>
  <si>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</si>
  <si>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A-03-04-02-012-001</t>
  </si>
  <si>
    <t>A-03-04-02-012-002</t>
  </si>
  <si>
    <t>A-03-10-02-001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</si>
  <si>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</si>
  <si>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</si>
  <si>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</si>
  <si>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>0201</t>
  </si>
  <si>
    <t>C-1205-0800-3-20110E-1205005-0201</t>
  </si>
  <si>
    <t>C-1205-0800-3-20110E-1205008-0202</t>
  </si>
  <si>
    <t>0202</t>
  </si>
  <si>
    <t>C-1205-0800-3-20110E-1205007-0203</t>
  </si>
  <si>
    <t>0203</t>
  </si>
  <si>
    <t>APROPIACIÓN  DISPONIBLE</t>
  </si>
  <si>
    <t>% DE EJECUCIÓN</t>
  </si>
  <si>
    <t>TOTAL PRESUPUESTO CON APLAZAMIENTO</t>
  </si>
  <si>
    <t>Licencias Arcgis</t>
  </si>
  <si>
    <t>APROPIACIÓN DISPONIBLE BIENES Y SERVICIOS</t>
  </si>
  <si>
    <t>Nuevo saldo</t>
  </si>
  <si>
    <t>CDP REQUERIDO</t>
  </si>
  <si>
    <t>Traslado Requerido</t>
  </si>
  <si>
    <t>honorarios mensuales</t>
  </si>
  <si>
    <t>Contrato Insignares</t>
  </si>
  <si>
    <t>Adición contrato Santos</t>
  </si>
  <si>
    <t>RECURSOS REALMENTE DISPONIBLES</t>
  </si>
  <si>
    <t>Total general</t>
  </si>
  <si>
    <t>APROPIACIÓN DISPONIBLE TRANSFERENCIAS</t>
  </si>
  <si>
    <t>Movimientos</t>
  </si>
  <si>
    <t>DEFENSA DE LOS INTERESES DEL ESTADO EN CONTROVERSIAS INTERNACIONALES / Pagos Administrativos CIADI</t>
  </si>
  <si>
    <t>liberación ítem 180</t>
  </si>
  <si>
    <t>liberación ítem 179</t>
  </si>
  <si>
    <t>liberación ítem 181</t>
  </si>
  <si>
    <t>liberación ítem 204</t>
  </si>
  <si>
    <t>liberación ítem 216</t>
  </si>
  <si>
    <t>liberación ítem 218</t>
  </si>
  <si>
    <t>liberación ítem 257</t>
  </si>
  <si>
    <t>liberación item 178</t>
  </si>
  <si>
    <t>liberación ítem 185</t>
  </si>
  <si>
    <t>Adición item 175 Continental</t>
  </si>
  <si>
    <t>CDP30325</t>
  </si>
  <si>
    <t>CDP30425</t>
  </si>
  <si>
    <t>Liberación CDP 28825</t>
  </si>
  <si>
    <t>Liberación CDP 5025</t>
  </si>
  <si>
    <t>Liberación CDP 1325</t>
  </si>
  <si>
    <t>APROPIACIÓN DISPONIBLE INVERSIÓN PGN</t>
  </si>
  <si>
    <t>C-1205-0800-3-20110E-1205005-0201 FORTALECIMIENTO DE LAS CAPACIDADES DE LA ANDJE PARA MEJORAR LA EFICIENCIA DE LAS ENTIDADES DEL NIVEL NACIONAL QUE HACEN PARTE DEL SISTEMA DE DEFENSA JURÍDICA</t>
  </si>
  <si>
    <t>C-1205-0800-3-20110E-1205007-0201 FORTALECIMIENTO DE LAS CAPACIDADES DE LA ANDJE PARA MEJORAR LA EFICIENCIA DE LAS ENTIDADES DEL NIVEL NACIONAL QUE HACEN PARTE DEL SISTEMA DE DEFENSA JURÍDICA</t>
  </si>
  <si>
    <t>APROPIACIÓN DISPONIBLE INVERSIÓN BID</t>
  </si>
  <si>
    <t>C-1205-0800-3-20110E-1205007-0203 ADMINISTRACIÓN Y OTROS GASTOS CONTINGENTES</t>
  </si>
  <si>
    <t>C-1205-0800-3-20110E-1205008-0202 FORTALECIMIENTO DE LA GESTIÓN DEL CONOCIMIENTO BASADO EN EVIDENCIA DEL SISTEMA DE DEFENSA JURÍDICA DEL ESTADO</t>
  </si>
  <si>
    <t>C-1205-0800-3-20110E-1205007-0201 (10)</t>
  </si>
  <si>
    <t>CDP 2725</t>
  </si>
  <si>
    <t>CDP 2825</t>
  </si>
  <si>
    <t>adicion CDP 325</t>
  </si>
  <si>
    <t>Numero Documento</t>
  </si>
  <si>
    <t>Rubro</t>
  </si>
  <si>
    <t>Descripcion</t>
  </si>
  <si>
    <t>Valor Actual</t>
  </si>
  <si>
    <t>servicios de educación</t>
  </si>
  <si>
    <t>prorroga seguros</t>
  </si>
  <si>
    <t>caja menor</t>
  </si>
  <si>
    <t>$2.175.885 Heihnson</t>
  </si>
  <si>
    <t>$537.100 caja menor</t>
  </si>
  <si>
    <t>FORTALECIMIENTO DE LA GESTIÓN DEL CONOCIMIENTO BASADO EN EVIDENCIA DEL SISTEMA DE DEFENSA JURÍDICA DEL ESTADO - BID</t>
  </si>
  <si>
    <t>CDP 
APALANCAMIENTO 2017</t>
  </si>
  <si>
    <t>MES
(DIC 2017)</t>
  </si>
  <si>
    <t>MESES 
(ENE-JULIO
2018</t>
  </si>
  <si>
    <t>TOTAL
CONTRATO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</si>
  <si>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</si>
  <si>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</si>
  <si>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Servicio postal</t>
  </si>
  <si>
    <t>Centro de Contacto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</si>
  <si>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</si>
  <si>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TOTAL</t>
  </si>
  <si>
    <t>Agosto</t>
  </si>
  <si>
    <t>CON CORTE A: 31 DE AGOSTO DE 2025</t>
  </si>
  <si>
    <t>Fecha de actualización: 31 DE AGOSTO 2025</t>
  </si>
  <si>
    <t>Coordinador (a) Grupo Gestión Administrativa, Financiera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</si>
</sst>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  <numFmt numFmtId="178" formatCode="&quot;$&quot;\ #,##0,,"/>
  </numFmts>
  <fonts count="6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.5"/>
      <name val="Montserrat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  <font>
      <sz val="11"/>
      <color theme="6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497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1" fontId="16" fillId="2" borderId="0" xfId="0" applyNumberFormat="1" applyFont="1" applyFill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2" fontId="32" fillId="0" borderId="3" xfId="3" applyNumberFormat="1" applyFont="1" applyBorder="1" applyAlignment="1">
      <alignment horizontal="left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2" fontId="33" fillId="11" borderId="3" xfId="3" applyNumberFormat="1" applyFont="1" applyFill="1" applyBorder="1" applyAlignment="1">
      <alignment horizontal="right" vertical="center" wrapText="1"/>
    </xf>
    <xf numFmtId="177" fontId="33" fillId="11" borderId="3" xfId="7" applyNumberFormat="1" applyFont="1" applyFill="1" applyBorder="1" applyAlignment="1">
      <alignment horizontal="center" vertical="center" wrapText="1"/>
    </xf>
    <xf numFmtId="9" fontId="33" fillId="11" borderId="3" xfId="5" applyFont="1" applyFill="1" applyBorder="1" applyAlignment="1">
      <alignment horizontal="center" vertical="center" wrapText="1"/>
    </xf>
    <xf numFmtId="9" fontId="33" fillId="11" borderId="11" xfId="5" applyFont="1" applyFill="1" applyBorder="1" applyAlignment="1">
      <alignment horizontal="center" vertical="center" wrapText="1"/>
    </xf>
    <xf numFmtId="0" fontId="34" fillId="2" borderId="0" xfId="3" applyFont="1" applyFill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1" fillId="0" borderId="2" xfId="0" applyFont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readingOrder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77" fontId="46" fillId="0" borderId="3" xfId="7" applyNumberFormat="1" applyFont="1" applyFill="1" applyBorder="1" applyAlignment="1">
      <alignment horizontal="center" vertical="center" wrapText="1" readingOrder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7" fillId="18" borderId="16" xfId="0" applyFont="1" applyFill="1" applyBorder="1" applyAlignment="1">
      <alignment horizontal="center" vertical="center" wrapText="1"/>
    </xf>
    <xf numFmtId="41" fontId="47" fillId="18" borderId="16" xfId="7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0" fontId="48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50" fillId="19" borderId="3" xfId="0" applyFont="1" applyFill="1" applyBorder="1" applyAlignment="1">
      <alignment vertical="center"/>
    </xf>
    <xf numFmtId="0" fontId="51" fillId="19" borderId="3" xfId="0" applyFont="1" applyFill="1" applyBorder="1" applyAlignment="1" applyProtection="1">
      <alignment horizontal="left" vertical="center" wrapText="1"/>
      <protection locked="0"/>
    </xf>
    <xf numFmtId="0" fontId="0" fillId="19" borderId="3" xfId="0" applyFill="1" applyBorder="1"/>
    <xf numFmtId="0" fontId="0" fillId="0" borderId="3" xfId="0" applyBorder="1"/>
    <xf numFmtId="0" fontId="51" fillId="0" borderId="0" xfId="0" applyFont="1" applyAlignment="1" applyProtection="1">
      <alignment horizontal="left" vertical="center" wrapText="1"/>
      <protection locked="0"/>
    </xf>
    <xf numFmtId="0" fontId="49" fillId="15" borderId="0" xfId="0" applyFont="1" applyFill="1"/>
    <xf numFmtId="178" fontId="49" fillId="15" borderId="0" xfId="15" applyNumberFormat="1" applyFont="1" applyFill="1"/>
    <xf numFmtId="178" fontId="4" fillId="0" borderId="3" xfId="0" applyNumberFormat="1" applyFont="1" applyBorder="1" applyAlignment="1">
      <alignment horizontal="center"/>
    </xf>
    <xf numFmtId="178" fontId="0" fillId="19" borderId="3" xfId="0" applyNumberFormat="1" applyFill="1" applyBorder="1"/>
    <xf numFmtId="178" fontId="51" fillId="19" borderId="3" xfId="0" applyNumberFormat="1" applyFont="1" applyFill="1" applyBorder="1" applyAlignment="1">
      <alignment vertical="center"/>
    </xf>
    <xf numFmtId="178" fontId="0" fillId="0" borderId="0" xfId="0" applyNumberFormat="1"/>
    <xf numFmtId="178" fontId="0" fillId="0" borderId="3" xfId="0" applyNumberFormat="1" applyBorder="1"/>
    <xf numFmtId="178" fontId="0" fillId="19" borderId="3" xfId="15" applyNumberFormat="1" applyFont="1" applyFill="1" applyBorder="1"/>
    <xf numFmtId="178" fontId="49" fillId="15" borderId="0" xfId="0" applyNumberFormat="1" applyFont="1" applyFill="1"/>
    <xf numFmtId="178" fontId="51" fillId="0" borderId="0" xfId="0" applyNumberFormat="1" applyFont="1" applyAlignment="1">
      <alignment vertical="center"/>
    </xf>
    <xf numFmtId="178" fontId="0" fillId="0" borderId="3" xfId="1" applyNumberFormat="1" applyFont="1" applyBorder="1"/>
    <xf numFmtId="165" fontId="0" fillId="0" borderId="0" xfId="1" applyFont="1"/>
    <xf numFmtId="170" fontId="49" fillId="15" borderId="3" xfId="1" applyNumberFormat="1" applyFont="1" applyFill="1" applyBorder="1"/>
    <xf numFmtId="170" fontId="0" fillId="0" borderId="0" xfId="0" applyNumberFormat="1"/>
    <xf numFmtId="0" fontId="0" fillId="20" borderId="0" xfId="0" applyFill="1"/>
    <xf numFmtId="178" fontId="0" fillId="20" borderId="0" xfId="0" applyNumberFormat="1" applyFill="1"/>
    <xf numFmtId="0" fontId="54" fillId="0" borderId="51" xfId="6" applyNumberFormat="1" applyFont="1" applyBorder="1" applyAlignment="1">
      <alignment horizontal="center" vertical="center"/>
    </xf>
    <xf numFmtId="0" fontId="0" fillId="17" borderId="3" xfId="6" applyNumberFormat="1" applyFont="1" applyFill="1" applyBorder="1"/>
    <xf numFmtId="0" fontId="54" fillId="0" borderId="51" xfId="0" applyFont="1" applyBorder="1" applyAlignment="1">
      <alignment horizontal="center" vertical="center"/>
    </xf>
    <xf numFmtId="0" fontId="0" fillId="17" borderId="3" xfId="0" applyFill="1" applyBorder="1"/>
    <xf numFmtId="43" fontId="54" fillId="0" borderId="51" xfId="6" applyFont="1" applyBorder="1" applyAlignment="1">
      <alignment horizontal="center" vertical="center"/>
    </xf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49" fillId="15" borderId="50" xfId="0" applyFont="1" applyFill="1" applyBorder="1"/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41" fontId="28" fillId="2" borderId="0" xfId="0" applyNumberFormat="1" applyFont="1" applyFill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28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41" fontId="0" fillId="0" borderId="0" xfId="0" applyNumberFormat="1"/>
    <xf numFmtId="165" fontId="4" fillId="0" borderId="3" xfId="1" applyFont="1" applyBorder="1" applyAlignment="1">
      <alignment horizontal="center"/>
    </xf>
    <xf numFmtId="165" fontId="0" fillId="19" borderId="3" xfId="1" applyFont="1" applyFill="1" applyBorder="1"/>
    <xf numFmtId="165" fontId="49" fillId="15" borderId="3" xfId="1" applyFont="1" applyFill="1" applyBorder="1"/>
    <xf numFmtId="165" fontId="0" fillId="0" borderId="3" xfId="1" applyFont="1" applyBorder="1"/>
    <xf numFmtId="165" fontId="51" fillId="0" borderId="0" xfId="1" applyFont="1" applyAlignment="1">
      <alignment vertical="center"/>
    </xf>
    <xf numFmtId="165" fontId="0" fillId="20" borderId="0" xfId="1" applyFont="1" applyFill="1"/>
    <xf numFmtId="43" fontId="50" fillId="17" borderId="3" xfId="6" applyFont="1" applyFill="1" applyBorder="1"/>
    <xf numFmtId="165" fontId="49" fillId="15" borderId="3" xfId="1" applyFont="1" applyFill="1" applyBorder="1" applyAlignment="1">
      <alignment vertical="center"/>
    </xf>
    <xf numFmtId="165" fontId="4" fillId="0" borderId="0" xfId="1" applyFont="1"/>
    <xf numFmtId="0" fontId="4" fillId="0" borderId="0" xfId="0" applyFont="1"/>
    <xf numFmtId="43" fontId="4" fillId="0" borderId="0" xfId="0" applyNumberFormat="1" applyFont="1"/>
    <xf numFmtId="165" fontId="55" fillId="19" borderId="3" xfId="1" applyFont="1" applyFill="1" applyBorder="1"/>
    <xf numFmtId="170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left"/>
    </xf>
    <xf numFmtId="42" fontId="0" fillId="0" borderId="0" xfId="0" applyNumberFormat="1"/>
    <xf numFmtId="0" fontId="4" fillId="21" borderId="52" xfId="0" applyFont="1" applyFill="1" applyBorder="1" applyAlignment="1">
      <alignment horizontal="left"/>
    </xf>
    <xf numFmtId="42" fontId="4" fillId="21" borderId="52" xfId="0" applyNumberFormat="1" applyFont="1" applyFill="1" applyBorder="1"/>
    <xf numFmtId="0" fontId="57" fillId="0" borderId="0" xfId="0" applyFont="1" applyAlignment="1">
      <alignment horizontal="center" vertical="center" readingOrder="1"/>
    </xf>
    <xf numFmtId="0" fontId="57" fillId="0" borderId="15" xfId="0" applyFont="1" applyBorder="1" applyAlignment="1">
      <alignment horizontal="center" vertical="center" readingOrder="1"/>
    </xf>
    <xf numFmtId="0" fontId="58" fillId="0" borderId="15" xfId="0" applyFont="1" applyBorder="1" applyAlignment="1">
      <alignment horizontal="right" vertical="center" readingOrder="1"/>
    </xf>
    <xf numFmtId="0" fontId="59" fillId="0" borderId="0" xfId="0" applyFont="1"/>
    <xf numFmtId="0" fontId="57" fillId="0" borderId="15" xfId="0" applyFont="1" applyBorder="1" applyAlignment="1">
      <alignment horizontal="left" vertical="center" readingOrder="1"/>
    </xf>
    <xf numFmtId="4" fontId="28" fillId="0" borderId="0" xfId="0" applyNumberFormat="1" applyFont="1" applyAlignment="1">
      <alignment horizontal="center" vertical="center" wrapText="1"/>
    </xf>
    <xf numFmtId="165" fontId="0" fillId="19" borderId="0" xfId="1" applyFont="1" applyFill="1" applyBorder="1"/>
    <xf numFmtId="165" fontId="55" fillId="19" borderId="0" xfId="1" applyFont="1" applyFill="1" applyBorder="1"/>
    <xf numFmtId="0" fontId="0" fillId="5" borderId="0" xfId="0" applyFill="1"/>
    <xf numFmtId="165" fontId="60" fillId="19" borderId="0" xfId="1" applyFont="1" applyFill="1" applyBorder="1"/>
    <xf numFmtId="167" fontId="61" fillId="10" borderId="14" xfId="3" applyNumberFormat="1" applyFont="1" applyFill="1" applyBorder="1" applyAlignment="1">
      <alignment horizontal="center" vertical="center" wrapText="1"/>
    </xf>
    <xf numFmtId="9" fontId="61" fillId="9" borderId="3" xfId="5" applyFont="1" applyFill="1" applyBorder="1" applyAlignment="1">
      <alignment horizontal="center" vertical="center" wrapText="1"/>
    </xf>
    <xf numFmtId="9" fontId="61" fillId="10" borderId="3" xfId="5" applyFont="1" applyFill="1" applyBorder="1" applyAlignment="1">
      <alignment horizontal="center" vertical="center" wrapText="1"/>
    </xf>
    <xf numFmtId="9" fontId="61" fillId="8" borderId="3" xfId="5" applyFont="1" applyFill="1" applyBorder="1" applyAlignment="1">
      <alignment horizontal="center" vertical="center" wrapText="1"/>
    </xf>
    <xf numFmtId="9" fontId="61" fillId="0" borderId="3" xfId="5" applyFont="1" applyFill="1" applyBorder="1" applyAlignment="1">
      <alignment horizontal="center" vertical="center" wrapText="1"/>
    </xf>
    <xf numFmtId="0" fontId="61" fillId="0" borderId="3" xfId="5" applyNumberFormat="1" applyFont="1" applyFill="1" applyBorder="1" applyAlignment="1">
      <alignment horizontal="center" vertical="center" wrapText="1"/>
    </xf>
    <xf numFmtId="9" fontId="62" fillId="0" borderId="3" xfId="5" applyFont="1" applyFill="1" applyBorder="1" applyAlignment="1">
      <alignment horizontal="center" vertical="center" wrapText="1" readingOrder="1"/>
    </xf>
    <xf numFmtId="9" fontId="61" fillId="0" borderId="3" xfId="5" applyFont="1" applyFill="1" applyBorder="1" applyAlignment="1">
      <alignment horizontal="center" vertical="center" wrapText="1" readingOrder="1"/>
    </xf>
    <xf numFmtId="9" fontId="61" fillId="8" borderId="3" xfId="5" applyFont="1" applyFill="1" applyBorder="1" applyAlignment="1">
      <alignment horizontal="center" vertical="center" wrapText="1" readingOrder="1"/>
    </xf>
    <xf numFmtId="9" fontId="61" fillId="2" borderId="3" xfId="5" applyFont="1" applyFill="1" applyBorder="1" applyAlignment="1">
      <alignment horizontal="center" vertical="center" wrapText="1"/>
    </xf>
    <xf numFmtId="10" fontId="62" fillId="0" borderId="3" xfId="5" applyNumberFormat="1" applyFont="1" applyFill="1" applyBorder="1" applyAlignment="1">
      <alignment horizontal="center" vertical="center" wrapText="1" readingOrder="1"/>
    </xf>
    <xf numFmtId="9" fontId="63" fillId="11" borderId="3" xfId="5" applyFont="1" applyFill="1" applyBorder="1" applyAlignment="1">
      <alignment horizontal="center" vertical="center" wrapText="1"/>
    </xf>
    <xf numFmtId="9" fontId="61" fillId="9" borderId="3" xfId="5" applyFont="1" applyFill="1" applyBorder="1" applyAlignment="1">
      <alignment horizontal="center" vertical="center" wrapText="1" readingOrder="1"/>
    </xf>
    <xf numFmtId="9" fontId="61" fillId="2" borderId="3" xfId="5" applyFont="1" applyFill="1" applyBorder="1" applyAlignment="1">
      <alignment horizontal="center" vertical="center" wrapText="1" readingOrder="1"/>
    </xf>
    <xf numFmtId="177" fontId="61" fillId="0" borderId="3" xfId="7" applyNumberFormat="1" applyFont="1" applyFill="1" applyBorder="1" applyAlignment="1">
      <alignment horizontal="center" vertical="center" wrapText="1" readingOrder="1"/>
    </xf>
    <xf numFmtId="177" fontId="61" fillId="2" borderId="3" xfId="7" applyNumberFormat="1" applyFont="1" applyFill="1" applyBorder="1" applyAlignment="1">
      <alignment horizontal="center" vertical="center" wrapText="1" readingOrder="1"/>
    </xf>
    <xf numFmtId="9" fontId="63" fillId="11" borderId="7" xfId="5" applyFont="1" applyFill="1" applyBorder="1" applyAlignment="1">
      <alignment horizontal="center" vertical="center" wrapText="1"/>
    </xf>
    <xf numFmtId="41" fontId="61" fillId="0" borderId="0" xfId="7" applyFont="1" applyFill="1" applyBorder="1" applyAlignment="1">
      <alignment horizontal="center" vertical="center" wrapText="1"/>
    </xf>
    <xf numFmtId="2" fontId="61" fillId="7" borderId="3" xfId="3" applyNumberFormat="1" applyFont="1" applyFill="1" applyBorder="1" applyAlignment="1">
      <alignment horizontal="center" vertical="center" wrapText="1"/>
    </xf>
    <xf numFmtId="9" fontId="61" fillId="14" borderId="3" xfId="5" applyFont="1" applyFill="1" applyBorder="1" applyAlignment="1">
      <alignment horizontal="center" vertical="center" wrapText="1"/>
    </xf>
    <xf numFmtId="41" fontId="61" fillId="2" borderId="0" xfId="7" applyFont="1" applyFill="1" applyBorder="1" applyAlignment="1">
      <alignment horizontal="center" vertical="center" wrapText="1"/>
    </xf>
    <xf numFmtId="0" fontId="62" fillId="0" borderId="0" xfId="3" applyFont="1" applyAlignment="1">
      <alignment horizontal="center" vertical="center" wrapText="1"/>
    </xf>
    <xf numFmtId="168" fontId="62" fillId="2" borderId="0" xfId="3" applyNumberFormat="1" applyFont="1" applyFill="1" applyAlignment="1">
      <alignment horizontal="center" vertical="center" wrapText="1"/>
    </xf>
    <xf numFmtId="0" fontId="62" fillId="2" borderId="0" xfId="3" applyFont="1" applyFill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readingOrder="1"/>
    </xf>
    <xf numFmtId="0" fontId="9" fillId="0" borderId="15" xfId="0" applyFont="1" applyBorder="1" applyAlignment="1">
      <alignment vertical="center" readingOrder="1"/>
    </xf>
    <xf numFmtId="176" fontId="9" fillId="0" borderId="15" xfId="0" applyNumberFormat="1" applyFont="1" applyBorder="1" applyAlignment="1">
      <alignment horizontal="right" vertical="center" readingOrder="1"/>
    </xf>
    <xf numFmtId="1" fontId="31" fillId="0" borderId="3" xfId="3" applyNumberFormat="1" applyFont="1" applyBorder="1" applyAlignment="1">
      <alignment horizontal="center" vertical="center" wrapText="1"/>
    </xf>
    <xf numFmtId="174" fontId="31" fillId="22" borderId="2" xfId="12" applyFont="1" applyFill="1" applyBorder="1">
      <alignment horizontal="center" vertical="center" wrapText="1"/>
    </xf>
    <xf numFmtId="174" fontId="31" fillId="22" borderId="3" xfId="12" applyFont="1" applyFill="1" applyBorder="1">
      <alignment horizontal="center" vertical="center" wrapText="1"/>
    </xf>
    <xf numFmtId="175" fontId="31" fillId="22" borderId="3" xfId="13" applyFont="1" applyFill="1" applyBorder="1" applyAlignment="1">
      <alignment horizontal="center" vertical="center" wrapText="1"/>
    </xf>
    <xf numFmtId="1" fontId="32" fillId="22" borderId="3" xfId="3" applyNumberFormat="1" applyFont="1" applyFill="1" applyBorder="1" applyAlignment="1">
      <alignment horizontal="center" vertical="center" wrapText="1"/>
    </xf>
    <xf numFmtId="0" fontId="31" fillId="22" borderId="3" xfId="0" applyFont="1" applyFill="1" applyBorder="1" applyAlignment="1">
      <alignment horizontal="left" vertical="center" wrapText="1" readingOrder="1"/>
    </xf>
    <xf numFmtId="177" fontId="31" fillId="22" borderId="3" xfId="7" applyNumberFormat="1" applyFont="1" applyFill="1" applyBorder="1" applyAlignment="1">
      <alignment horizontal="center" vertical="center" wrapText="1" readingOrder="1"/>
    </xf>
    <xf numFmtId="9" fontId="62" fillId="22" borderId="3" xfId="5" applyFont="1" applyFill="1" applyBorder="1" applyAlignment="1">
      <alignment horizontal="center" vertical="center" wrapText="1" readingOrder="1"/>
    </xf>
    <xf numFmtId="9" fontId="31" fillId="22" borderId="3" xfId="5" applyFont="1" applyFill="1" applyBorder="1" applyAlignment="1">
      <alignment horizontal="center" vertical="center" wrapText="1" readingOrder="1"/>
    </xf>
    <xf numFmtId="9" fontId="31" fillId="22" borderId="11" xfId="5" applyFont="1" applyFill="1" applyBorder="1" applyAlignment="1">
      <alignment horizontal="center" vertical="center" wrapText="1" readingOrder="1"/>
    </xf>
    <xf numFmtId="0" fontId="31" fillId="22" borderId="0" xfId="3" applyFont="1" applyFill="1" applyAlignment="1">
      <alignment horizontal="center" vertical="center" wrapText="1"/>
    </xf>
    <xf numFmtId="0" fontId="31" fillId="22" borderId="9" xfId="3" applyFont="1" applyFill="1" applyBorder="1" applyAlignment="1">
      <alignment horizontal="center" vertical="center" wrapText="1"/>
    </xf>
    <xf numFmtId="1" fontId="31" fillId="22" borderId="3" xfId="3" applyNumberFormat="1" applyFont="1" applyFill="1" applyBorder="1" applyAlignment="1">
      <alignment horizontal="center" vertical="center" wrapText="1"/>
    </xf>
    <xf numFmtId="177" fontId="34" fillId="2" borderId="0" xfId="3" applyNumberFormat="1" applyFont="1" applyFill="1" applyAlignment="1">
      <alignment horizontal="center" vertical="center" wrapText="1"/>
    </xf>
    <xf numFmtId="177" fontId="32" fillId="0" borderId="0" xfId="3" applyNumberFormat="1" applyFont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11" borderId="21" xfId="3" applyNumberFormat="1" applyFont="1" applyFill="1" applyBorder="1" applyAlignment="1">
      <alignment horizontal="center" vertical="center" wrapText="1"/>
    </xf>
    <xf numFmtId="1" fontId="33" fillId="11" borderId="10" xfId="3" applyNumberFormat="1" applyFont="1" applyFill="1" applyBorder="1" applyAlignment="1">
      <alignment horizontal="center" vertical="center" wrapText="1"/>
    </xf>
    <xf numFmtId="1" fontId="33" fillId="11" borderId="8" xfId="3" applyNumberFormat="1" applyFont="1" applyFill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61" fillId="14" borderId="14" xfId="3" applyFont="1" applyFill="1" applyBorder="1" applyAlignment="1">
      <alignment horizontal="center" vertical="center" wrapText="1"/>
    </xf>
    <xf numFmtId="0" fontId="61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66FFFF"/>
      <color rgb="FF000099"/>
      <color rgb="FF0033CC"/>
      <color rgb="FFFF0066"/>
      <color rgb="FFFF66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98227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398284</xdr:colOff>
      <xdr:row>2</xdr:row>
      <xdr:rowOff>169545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3791902</xdr:colOff>
      <xdr:row>3</xdr:row>
      <xdr:rowOff>92504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815540</xdr:colOff>
      <xdr:row>3</xdr:row>
      <xdr:rowOff>169372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file:///Y:\PRESUPUESTO\2024\INFORMES%20DE%20EJECUCION\EJECUCION%20MENSUAL\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W153"/>
  <sheetViews>
    <sheetView showGridLines="0" zoomScale="90" zoomScaleNormal="90" workbookViewId="0">
      <pane xSplit="9" ySplit="7" topLeftCell="J115" activePane="bottomRight" state="frozen"/>
      <selection pane="topRight" activeCell="J1" sqref="J1"/>
      <selection pane="bottomLeft" activeCell="A9" sqref="A9"/>
      <selection pane="bottomRight" activeCell="A134" sqref="A134:Q134"/>
    </sheetView>
  </sheetViews>
  <sheetFormatPr baseColWidth="10" defaultColWidth="11.44140625" defaultRowHeight="10.8" x14ac:dyDescent="0.3"/>
  <cols>
    <col min="1" max="1" width="7" style="118" customWidth="1"/>
    <col min="2" max="2" width="6.44140625" style="118" customWidth="1"/>
    <col min="3" max="3" width="5.88671875" style="118" customWidth="1"/>
    <col min="4" max="4" width="6.6640625" style="118" customWidth="1"/>
    <col min="5" max="5" width="9.109375" style="118" bestFit="1" customWidth="1"/>
    <col min="6" max="6" width="5.33203125" style="118" customWidth="1"/>
    <col min="7" max="7" width="5.44140625" style="118" customWidth="1"/>
    <col min="8" max="8" width="55.6640625" style="119" customWidth="1"/>
    <col min="9" max="9" width="23.5546875" style="120" customWidth="1"/>
    <col min="10" max="10" width="23" style="120" customWidth="1"/>
    <col min="11" max="11" width="13.109375" style="398" customWidth="1"/>
    <col min="12" max="12" width="22.6640625" style="120" customWidth="1"/>
    <col min="13" max="13" width="22.109375" style="118" bestFit="1" customWidth="1"/>
    <col min="14" max="14" width="23.44140625" style="121" customWidth="1"/>
    <col min="15" max="15" width="12.5546875" style="121" customWidth="1"/>
    <col min="16" max="16" width="23.6640625" style="122" customWidth="1"/>
    <col min="17" max="17" width="8.109375" style="122" bestFit="1" customWidth="1"/>
    <col min="18" max="18" width="22.33203125" style="118" customWidth="1"/>
    <col min="19" max="27" width="11.44140625" style="118" customWidth="1"/>
    <col min="28" max="48" width="11.44140625" style="118"/>
    <col min="49" max="49" width="11.44140625" style="123"/>
    <col min="50" max="193" width="11.44140625" style="118"/>
    <col min="194" max="194" width="4.6640625" style="118" customWidth="1"/>
    <col min="195" max="195" width="4.88671875" style="118" customWidth="1"/>
    <col min="196" max="198" width="4.6640625" style="118" customWidth="1"/>
    <col min="199" max="199" width="4" style="118" bestFit="1" customWidth="1"/>
    <col min="200" max="200" width="44.5546875" style="118" customWidth="1"/>
    <col min="201" max="201" width="19.33203125" style="118" customWidth="1"/>
    <col min="202" max="202" width="23.88671875" style="118" customWidth="1"/>
    <col min="203" max="203" width="16.44140625" style="118" customWidth="1"/>
    <col min="204" max="204" width="15.6640625" style="118" bestFit="1" customWidth="1"/>
    <col min="205" max="205" width="53.44140625" style="118" customWidth="1"/>
    <col min="206" max="206" width="13.5546875" style="118" customWidth="1"/>
    <col min="207" max="207" width="42.5546875" style="118" customWidth="1"/>
    <col min="208" max="208" width="12.109375" style="118" customWidth="1"/>
    <col min="209" max="209" width="11.44140625" style="118"/>
    <col min="210" max="210" width="11.88671875" style="118" customWidth="1"/>
    <col min="211" max="16384" width="11.44140625" style="118"/>
  </cols>
  <sheetData>
    <row r="1" spans="1:49" ht="19.5" customHeight="1" x14ac:dyDescent="0.3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49" ht="19.5" customHeight="1" x14ac:dyDescent="0.3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</row>
    <row r="3" spans="1:49" ht="19.2" thickBot="1" x14ac:dyDescent="0.35">
      <c r="A3" s="438" t="s">
        <v>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49" ht="24.6" thickBot="1" x14ac:dyDescent="0.35">
      <c r="A4" s="442" t="s">
        <v>360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4"/>
    </row>
    <row r="5" spans="1:49" ht="15.75" customHeight="1" thickBot="1" x14ac:dyDescent="0.35">
      <c r="A5" s="439" t="s">
        <v>2</v>
      </c>
      <c r="B5" s="440"/>
      <c r="C5" s="440"/>
      <c r="D5" s="440"/>
      <c r="E5" s="440"/>
      <c r="F5" s="440"/>
      <c r="G5" s="440"/>
      <c r="H5" s="441"/>
      <c r="I5" s="246" t="s">
        <v>3</v>
      </c>
      <c r="J5" s="247" t="s">
        <v>4</v>
      </c>
      <c r="K5" s="375"/>
      <c r="L5" s="247" t="s">
        <v>5</v>
      </c>
      <c r="M5" s="247" t="s">
        <v>6</v>
      </c>
      <c r="N5" s="248" t="s">
        <v>7</v>
      </c>
      <c r="O5" s="248"/>
      <c r="P5" s="249" t="s">
        <v>8</v>
      </c>
      <c r="Q5" s="250"/>
    </row>
    <row r="6" spans="1:49" ht="22.5" customHeight="1" x14ac:dyDescent="0.3">
      <c r="A6" s="453" t="s">
        <v>9</v>
      </c>
      <c r="B6" s="430" t="s">
        <v>10</v>
      </c>
      <c r="C6" s="430" t="s">
        <v>11</v>
      </c>
      <c r="D6" s="430" t="s">
        <v>12</v>
      </c>
      <c r="E6" s="430" t="s">
        <v>13</v>
      </c>
      <c r="F6" s="430" t="s">
        <v>14</v>
      </c>
      <c r="G6" s="430" t="s">
        <v>15</v>
      </c>
      <c r="H6" s="424" t="s">
        <v>16</v>
      </c>
      <c r="I6" s="424" t="s">
        <v>17</v>
      </c>
      <c r="J6" s="424" t="s">
        <v>18</v>
      </c>
      <c r="K6" s="451" t="s">
        <v>19</v>
      </c>
      <c r="L6" s="424" t="s">
        <v>20</v>
      </c>
      <c r="M6" s="424" t="s">
        <v>21</v>
      </c>
      <c r="N6" s="445" t="s">
        <v>22</v>
      </c>
      <c r="O6" s="445" t="s">
        <v>23</v>
      </c>
      <c r="P6" s="447" t="s">
        <v>24</v>
      </c>
      <c r="Q6" s="449" t="s">
        <v>25</v>
      </c>
    </row>
    <row r="7" spans="1:49" ht="15.75" customHeight="1" thickBot="1" x14ac:dyDescent="0.35">
      <c r="A7" s="454"/>
      <c r="B7" s="431"/>
      <c r="C7" s="431"/>
      <c r="D7" s="431"/>
      <c r="E7" s="431"/>
      <c r="F7" s="431"/>
      <c r="G7" s="431"/>
      <c r="H7" s="425"/>
      <c r="I7" s="425"/>
      <c r="J7" s="425"/>
      <c r="K7" s="452"/>
      <c r="L7" s="425"/>
      <c r="M7" s="425"/>
      <c r="N7" s="446"/>
      <c r="O7" s="446"/>
      <c r="P7" s="448"/>
      <c r="Q7" s="450"/>
    </row>
    <row r="8" spans="1:49" s="130" customFormat="1" x14ac:dyDescent="0.3">
      <c r="A8" s="268">
        <v>1</v>
      </c>
      <c r="B8" s="124"/>
      <c r="C8" s="269"/>
      <c r="D8" s="124"/>
      <c r="E8" s="269"/>
      <c r="F8" s="124"/>
      <c r="G8" s="124"/>
      <c r="H8" s="125" t="s">
        <v>26</v>
      </c>
      <c r="I8" s="126">
        <f>+I9</f>
        <v>66681300000</v>
      </c>
      <c r="J8" s="126">
        <f>+J9</f>
        <v>33378120537.650002</v>
      </c>
      <c r="K8" s="376">
        <f>+J8/I8</f>
        <v>0.50056193472007893</v>
      </c>
      <c r="L8" s="126">
        <f>+L9</f>
        <v>25008679462.349998</v>
      </c>
      <c r="M8" s="126">
        <f>+M9</f>
        <v>0</v>
      </c>
      <c r="N8" s="126">
        <f t="shared" ref="N8" si="0">+N9</f>
        <v>33344571609.650002</v>
      </c>
      <c r="O8" s="127">
        <f>+N8/I8</f>
        <v>0.50005881123568374</v>
      </c>
      <c r="P8" s="126">
        <f>+P9</f>
        <v>32839895430.650002</v>
      </c>
      <c r="Q8" s="128">
        <f>+P8/I8</f>
        <v>0.4924903298323518</v>
      </c>
      <c r="AW8" s="131"/>
    </row>
    <row r="9" spans="1:49" x14ac:dyDescent="0.3">
      <c r="A9" s="270" t="s">
        <v>27</v>
      </c>
      <c r="B9" s="271" t="s">
        <v>27</v>
      </c>
      <c r="C9" s="271"/>
      <c r="D9" s="271"/>
      <c r="E9" s="271"/>
      <c r="F9" s="271"/>
      <c r="G9" s="271"/>
      <c r="H9" s="132" t="s">
        <v>28</v>
      </c>
      <c r="I9" s="133">
        <f>+I10+I19+I27+I36</f>
        <v>66681300000</v>
      </c>
      <c r="J9" s="133">
        <f>+J10+J19+J27</f>
        <v>33378120537.650002</v>
      </c>
      <c r="K9" s="377">
        <f t="shared" ref="K9:K78" si="1">+J9/I9</f>
        <v>0.50056193472007893</v>
      </c>
      <c r="L9" s="133">
        <f>+L10+L19+L27</f>
        <v>25008679462.349998</v>
      </c>
      <c r="M9" s="133">
        <f>+M10+M19+M27+M36</f>
        <v>0</v>
      </c>
      <c r="N9" s="133">
        <f t="shared" ref="N9" si="2">+N10+N19+N27</f>
        <v>33344571609.650002</v>
      </c>
      <c r="O9" s="134">
        <f t="shared" ref="O9:O78" si="3">+N9/I9</f>
        <v>0.50005881123568374</v>
      </c>
      <c r="P9" s="133">
        <f>+P10+P19+P27</f>
        <v>32839895430.650002</v>
      </c>
      <c r="Q9" s="135">
        <f t="shared" ref="Q9:Q78" si="4">+P9/I9</f>
        <v>0.4924903298323518</v>
      </c>
    </row>
    <row r="10" spans="1:49" x14ac:dyDescent="0.3">
      <c r="A10" s="136" t="s">
        <v>27</v>
      </c>
      <c r="B10" s="137" t="s">
        <v>27</v>
      </c>
      <c r="C10" s="137" t="s">
        <v>27</v>
      </c>
      <c r="D10" s="137"/>
      <c r="E10" s="137"/>
      <c r="F10" s="137"/>
      <c r="G10" s="137"/>
      <c r="H10" s="138" t="s">
        <v>29</v>
      </c>
      <c r="I10" s="139">
        <f>+I11</f>
        <v>40005200000</v>
      </c>
      <c r="J10" s="139">
        <f>+J11</f>
        <v>22928157591</v>
      </c>
      <c r="K10" s="378">
        <f t="shared" si="1"/>
        <v>0.57312943294871666</v>
      </c>
      <c r="L10" s="139">
        <f>+L12+L13+L14+L15+L16+L17+L18</f>
        <v>17077042409</v>
      </c>
      <c r="M10" s="139">
        <f>+M12+M13+M14+M15+M16+M17+M18</f>
        <v>0</v>
      </c>
      <c r="N10" s="139">
        <f t="shared" ref="N10" si="5">+N12+N13+N14+N15+N16+N17+N18</f>
        <v>22897626525</v>
      </c>
      <c r="O10" s="140">
        <f t="shared" si="3"/>
        <v>0.57236625551178344</v>
      </c>
      <c r="P10" s="139">
        <f>+P12+P13+P14+P15+P16+P17+P18</f>
        <v>22897626525</v>
      </c>
      <c r="Q10" s="141">
        <f t="shared" si="4"/>
        <v>0.57236625551178344</v>
      </c>
    </row>
    <row r="11" spans="1:49" x14ac:dyDescent="0.3">
      <c r="A11" s="272" t="s">
        <v>27</v>
      </c>
      <c r="B11" s="273" t="s">
        <v>27</v>
      </c>
      <c r="C11" s="273" t="s">
        <v>27</v>
      </c>
      <c r="D11" s="142" t="s">
        <v>30</v>
      </c>
      <c r="E11" s="143"/>
      <c r="F11" s="143"/>
      <c r="G11" s="143"/>
      <c r="H11" s="144" t="s">
        <v>31</v>
      </c>
      <c r="I11" s="145">
        <f>+I12+I13+I14+I15+I16+I17+I18</f>
        <v>40005200000</v>
      </c>
      <c r="J11" s="145">
        <f>+J12+J13+J14+J15+J16+J17+J18</f>
        <v>22928157591</v>
      </c>
      <c r="K11" s="379">
        <f t="shared" si="1"/>
        <v>0.57312943294871666</v>
      </c>
      <c r="L11" s="145">
        <f t="shared" ref="L11:N11" si="6">+L12+L13+L14+L15+L16+L17+L18</f>
        <v>17077042409</v>
      </c>
      <c r="M11" s="157">
        <f t="shared" si="6"/>
        <v>0</v>
      </c>
      <c r="N11" s="145">
        <f t="shared" si="6"/>
        <v>22897626525</v>
      </c>
      <c r="O11" s="147">
        <f t="shared" si="3"/>
        <v>0.57236625551178344</v>
      </c>
      <c r="P11" s="145">
        <f>+P12+P13+P14+P15+P16+P17+P18</f>
        <v>22897626525</v>
      </c>
      <c r="Q11" s="148">
        <f t="shared" si="4"/>
        <v>0.57236625551178344</v>
      </c>
    </row>
    <row r="12" spans="1:49" x14ac:dyDescent="0.3">
      <c r="A12" s="274" t="s">
        <v>27</v>
      </c>
      <c r="B12" s="275" t="s">
        <v>27</v>
      </c>
      <c r="C12" s="275" t="s">
        <v>27</v>
      </c>
      <c r="D12" s="149" t="s">
        <v>30</v>
      </c>
      <c r="E12" s="276" t="s">
        <v>30</v>
      </c>
      <c r="F12" s="143"/>
      <c r="G12" s="143"/>
      <c r="H12" s="150" t="s">
        <v>32</v>
      </c>
      <c r="I12" s="151">
        <f>+'EJ. DESAGREGADA'!T5</f>
        <v>27102300000</v>
      </c>
      <c r="J12" s="152">
        <f>+'EJ. DESAGREGADA'!X5</f>
        <v>16329533494</v>
      </c>
      <c r="K12" s="379">
        <f t="shared" si="1"/>
        <v>0.60251467565483374</v>
      </c>
      <c r="L12" s="152">
        <f>+'EJ. DESAGREGADA'!AB5</f>
        <v>10772766506</v>
      </c>
      <c r="M12" s="344">
        <f>+'EJ. DESAGREGADA'!W5</f>
        <v>0</v>
      </c>
      <c r="N12" s="152">
        <f>+'EJ. DESAGREGADA'!Y5</f>
        <v>16308166501</v>
      </c>
      <c r="O12" s="153">
        <f t="shared" si="3"/>
        <v>0.60172629263937005</v>
      </c>
      <c r="P12" s="152">
        <f>+'EJ. DESAGREGADA'!AA5</f>
        <v>16308166501</v>
      </c>
      <c r="Q12" s="154">
        <f t="shared" si="4"/>
        <v>0.60172629263937005</v>
      </c>
    </row>
    <row r="13" spans="1:49" x14ac:dyDescent="0.3">
      <c r="A13" s="274" t="s">
        <v>27</v>
      </c>
      <c r="B13" s="275" t="s">
        <v>27</v>
      </c>
      <c r="C13" s="275" t="s">
        <v>27</v>
      </c>
      <c r="D13" s="149" t="s">
        <v>30</v>
      </c>
      <c r="E13" s="276" t="s">
        <v>33</v>
      </c>
      <c r="F13" s="143"/>
      <c r="G13" s="143"/>
      <c r="H13" s="150" t="s">
        <v>34</v>
      </c>
      <c r="I13" s="151">
        <f>+'EJ. DESAGREGADA'!T6</f>
        <v>5318000000</v>
      </c>
      <c r="J13" s="152">
        <f>+'EJ. DESAGREGADA'!X6</f>
        <v>3695068995</v>
      </c>
      <c r="K13" s="379">
        <f t="shared" si="1"/>
        <v>0.69482305283941337</v>
      </c>
      <c r="L13" s="152">
        <f>+'EJ. DESAGREGADA'!AB6</f>
        <v>1622931005</v>
      </c>
      <c r="M13" s="344">
        <f>+'EJ. DESAGREGADA'!W6</f>
        <v>0</v>
      </c>
      <c r="N13" s="152">
        <f>+'EJ. DESAGREGADA'!Y6</f>
        <v>3685904922</v>
      </c>
      <c r="O13" s="153">
        <f t="shared" si="3"/>
        <v>0.69309983490033844</v>
      </c>
      <c r="P13" s="152">
        <f>+'EJ. DESAGREGADA'!AA6</f>
        <v>3685904922</v>
      </c>
      <c r="Q13" s="154">
        <f t="shared" si="4"/>
        <v>0.69309983490033844</v>
      </c>
    </row>
    <row r="14" spans="1:49" x14ac:dyDescent="0.3">
      <c r="A14" s="274" t="s">
        <v>27</v>
      </c>
      <c r="B14" s="275" t="s">
        <v>27</v>
      </c>
      <c r="C14" s="275" t="s">
        <v>27</v>
      </c>
      <c r="D14" s="149" t="s">
        <v>30</v>
      </c>
      <c r="E14" s="276" t="s">
        <v>35</v>
      </c>
      <c r="F14" s="143"/>
      <c r="G14" s="143"/>
      <c r="H14" s="150" t="s">
        <v>36</v>
      </c>
      <c r="I14" s="151">
        <f>+'EJ. DESAGREGADA'!T7</f>
        <v>1545000000</v>
      </c>
      <c r="J14" s="152">
        <f>+'EJ. DESAGREGADA'!X7</f>
        <v>1279919895</v>
      </c>
      <c r="K14" s="379">
        <f t="shared" si="1"/>
        <v>0.82842711650485434</v>
      </c>
      <c r="L14" s="152">
        <f>+'EJ. DESAGREGADA'!AB7</f>
        <v>265080105</v>
      </c>
      <c r="M14" s="344">
        <f>+'EJ. DESAGREGADA'!W7</f>
        <v>0</v>
      </c>
      <c r="N14" s="152">
        <f>+'EJ. DESAGREGADA'!Y7</f>
        <v>1279919895</v>
      </c>
      <c r="O14" s="153">
        <f t="shared" si="3"/>
        <v>0.82842711650485434</v>
      </c>
      <c r="P14" s="152">
        <f>+'EJ. DESAGREGADA'!AA7</f>
        <v>1279919895</v>
      </c>
      <c r="Q14" s="154">
        <f t="shared" si="4"/>
        <v>0.82842711650485434</v>
      </c>
    </row>
    <row r="15" spans="1:49" x14ac:dyDescent="0.3">
      <c r="A15" s="274" t="s">
        <v>27</v>
      </c>
      <c r="B15" s="275" t="s">
        <v>27</v>
      </c>
      <c r="C15" s="275" t="s">
        <v>27</v>
      </c>
      <c r="D15" s="149" t="s">
        <v>30</v>
      </c>
      <c r="E15" s="276" t="s">
        <v>37</v>
      </c>
      <c r="F15" s="143"/>
      <c r="G15" s="143"/>
      <c r="H15" s="150" t="s">
        <v>38</v>
      </c>
      <c r="I15" s="151">
        <f>+'EJ. DESAGREGADA'!T8</f>
        <v>1138000000</v>
      </c>
      <c r="J15" s="152">
        <f>+'EJ. DESAGREGADA'!X8</f>
        <v>649785780</v>
      </c>
      <c r="K15" s="379">
        <f t="shared" si="1"/>
        <v>0.57098926186291743</v>
      </c>
      <c r="L15" s="152">
        <f>+'EJ. DESAGREGADA'!AB8</f>
        <v>488214220</v>
      </c>
      <c r="M15" s="344">
        <f>+'EJ. DESAGREGADA'!W8</f>
        <v>0</v>
      </c>
      <c r="N15" s="152">
        <f>+'EJ. DESAGREGADA'!Y8</f>
        <v>649785780</v>
      </c>
      <c r="O15" s="153">
        <f t="shared" si="3"/>
        <v>0.57098926186291743</v>
      </c>
      <c r="P15" s="152">
        <f>+'EJ. DESAGREGADA'!AA8</f>
        <v>649785780</v>
      </c>
      <c r="Q15" s="154">
        <f t="shared" si="4"/>
        <v>0.57098926186291743</v>
      </c>
    </row>
    <row r="16" spans="1:49" x14ac:dyDescent="0.3">
      <c r="A16" s="274" t="s">
        <v>27</v>
      </c>
      <c r="B16" s="275" t="s">
        <v>27</v>
      </c>
      <c r="C16" s="275" t="s">
        <v>27</v>
      </c>
      <c r="D16" s="149" t="s">
        <v>30</v>
      </c>
      <c r="E16" s="276" t="s">
        <v>39</v>
      </c>
      <c r="F16" s="143"/>
      <c r="G16" s="143"/>
      <c r="H16" s="150" t="s">
        <v>40</v>
      </c>
      <c r="I16" s="151">
        <f>+'EJ. DESAGREGADA'!T9</f>
        <v>17900000</v>
      </c>
      <c r="J16" s="152">
        <f>+'EJ. DESAGREGADA'!X9</f>
        <v>0</v>
      </c>
      <c r="K16" s="380">
        <f>+J16/I16</f>
        <v>0</v>
      </c>
      <c r="L16" s="152">
        <f>+'EJ. DESAGREGADA'!AB9</f>
        <v>17900000</v>
      </c>
      <c r="M16" s="344">
        <f>+'EJ. DESAGREGADA'!W9</f>
        <v>0</v>
      </c>
      <c r="N16" s="152">
        <f>+'EJ. DESAGREGADA'!Y9</f>
        <v>0</v>
      </c>
      <c r="O16" s="153">
        <f t="shared" si="3"/>
        <v>0</v>
      </c>
      <c r="P16" s="152">
        <f>+'EJ. DESAGREGADA'!AA9</f>
        <v>0</v>
      </c>
      <c r="Q16" s="154">
        <f t="shared" si="4"/>
        <v>0</v>
      </c>
    </row>
    <row r="17" spans="1:49" x14ac:dyDescent="0.3">
      <c r="A17" s="274" t="s">
        <v>27</v>
      </c>
      <c r="B17" s="275" t="s">
        <v>27</v>
      </c>
      <c r="C17" s="275" t="s">
        <v>27</v>
      </c>
      <c r="D17" s="149" t="s">
        <v>30</v>
      </c>
      <c r="E17" s="276" t="s">
        <v>41</v>
      </c>
      <c r="F17" s="143"/>
      <c r="G17" s="143"/>
      <c r="H17" s="150" t="s">
        <v>42</v>
      </c>
      <c r="I17" s="151">
        <f>+'EJ. DESAGREGADA'!T10</f>
        <v>3218000000</v>
      </c>
      <c r="J17" s="152">
        <f>+'EJ. DESAGREGADA'!X10</f>
        <v>111144427</v>
      </c>
      <c r="K17" s="379">
        <f t="shared" si="1"/>
        <v>3.453835518955873E-2</v>
      </c>
      <c r="L17" s="152">
        <f>+'EJ. DESAGREGADA'!AB10</f>
        <v>3106855573</v>
      </c>
      <c r="M17" s="344">
        <f>+'EJ. DESAGREGADA'!W10</f>
        <v>0</v>
      </c>
      <c r="N17" s="152">
        <f>+'EJ. DESAGREGADA'!Y10</f>
        <v>111144427</v>
      </c>
      <c r="O17" s="153">
        <f t="shared" si="3"/>
        <v>3.453835518955873E-2</v>
      </c>
      <c r="P17" s="152">
        <f>+'EJ. DESAGREGADA'!AA10</f>
        <v>111144427</v>
      </c>
      <c r="Q17" s="154">
        <f t="shared" si="4"/>
        <v>3.453835518955873E-2</v>
      </c>
    </row>
    <row r="18" spans="1:49" x14ac:dyDescent="0.3">
      <c r="A18" s="274" t="s">
        <v>27</v>
      </c>
      <c r="B18" s="275" t="s">
        <v>27</v>
      </c>
      <c r="C18" s="275" t="s">
        <v>27</v>
      </c>
      <c r="D18" s="149" t="s">
        <v>30</v>
      </c>
      <c r="E18" s="276" t="s">
        <v>43</v>
      </c>
      <c r="F18" s="143"/>
      <c r="G18" s="143"/>
      <c r="H18" s="150" t="s">
        <v>44</v>
      </c>
      <c r="I18" s="151">
        <f>+'EJ. DESAGREGADA'!T11</f>
        <v>1666000000</v>
      </c>
      <c r="J18" s="152">
        <f>+'EJ. DESAGREGADA'!X11</f>
        <v>862705000</v>
      </c>
      <c r="K18" s="379">
        <f t="shared" si="1"/>
        <v>0.51783013205282113</v>
      </c>
      <c r="L18" s="152">
        <f>+'EJ. DESAGREGADA'!AB11</f>
        <v>803295000</v>
      </c>
      <c r="M18" s="344">
        <f>+'EJ. DESAGREGADA'!W11</f>
        <v>0</v>
      </c>
      <c r="N18" s="152">
        <f>+'EJ. DESAGREGADA'!Y11</f>
        <v>862705000</v>
      </c>
      <c r="O18" s="153">
        <f t="shared" si="3"/>
        <v>0.51783013205282113</v>
      </c>
      <c r="P18" s="152">
        <f>+'EJ. DESAGREGADA'!AA11</f>
        <v>862705000</v>
      </c>
      <c r="Q18" s="154">
        <f t="shared" si="4"/>
        <v>0.51783013205282113</v>
      </c>
    </row>
    <row r="19" spans="1:49" x14ac:dyDescent="0.3">
      <c r="A19" s="136" t="s">
        <v>27</v>
      </c>
      <c r="B19" s="137" t="s">
        <v>27</v>
      </c>
      <c r="C19" s="137" t="s">
        <v>45</v>
      </c>
      <c r="D19" s="137"/>
      <c r="E19" s="137"/>
      <c r="F19" s="137"/>
      <c r="G19" s="137"/>
      <c r="H19" s="138" t="s">
        <v>46</v>
      </c>
      <c r="I19" s="139">
        <f>+I20+I21+I22+I23+I24+I25+I26</f>
        <v>13920200000</v>
      </c>
      <c r="J19" s="139">
        <f>+J20+J21+J22+J23+J24+J25+J26</f>
        <v>8485064271.6499996</v>
      </c>
      <c r="K19" s="378">
        <f t="shared" si="1"/>
        <v>0.60955045700851995</v>
      </c>
      <c r="L19" s="139">
        <f>+L20+L21+L22+L23+L24+L25+L26</f>
        <v>5435135728.3500004</v>
      </c>
      <c r="M19" s="139">
        <f t="shared" ref="M19" si="7">+M20+M21+M22+M23+M24+M25+M26</f>
        <v>0</v>
      </c>
      <c r="N19" s="139">
        <f>+N20+N21+N22+N23+N24+N25+N26</f>
        <v>8485064271.6499996</v>
      </c>
      <c r="O19" s="140">
        <f t="shared" si="3"/>
        <v>0.60955045700851995</v>
      </c>
      <c r="P19" s="139">
        <f>+P20+P21+P22+P23+P24+P25+P26</f>
        <v>7980388092.6499996</v>
      </c>
      <c r="Q19" s="141">
        <f t="shared" si="4"/>
        <v>0.57329550528368844</v>
      </c>
    </row>
    <row r="20" spans="1:49" x14ac:dyDescent="0.3">
      <c r="A20" s="274" t="s">
        <v>27</v>
      </c>
      <c r="B20" s="275" t="s">
        <v>27</v>
      </c>
      <c r="C20" s="275" t="s">
        <v>45</v>
      </c>
      <c r="D20" s="149" t="s">
        <v>30</v>
      </c>
      <c r="E20" s="276"/>
      <c r="F20" s="143"/>
      <c r="G20" s="143"/>
      <c r="H20" s="150" t="s">
        <v>47</v>
      </c>
      <c r="I20" s="151">
        <f>+'EJ. DESAGREGADA'!T12</f>
        <v>4082290000</v>
      </c>
      <c r="J20" s="152">
        <f>+'EJ. DESAGREGADA'!X12</f>
        <v>2767935211</v>
      </c>
      <c r="K20" s="379">
        <f t="shared" si="1"/>
        <v>0.67803492916965724</v>
      </c>
      <c r="L20" s="152">
        <f>+'EJ. DESAGREGADA'!AB12</f>
        <v>1314354789</v>
      </c>
      <c r="M20" s="344">
        <f>+'EJ. DESAGREGADA'!W12</f>
        <v>0</v>
      </c>
      <c r="N20" s="152">
        <f>+'EJ. DESAGREGADA'!Y12</f>
        <v>2767935211</v>
      </c>
      <c r="O20" s="153">
        <f t="shared" si="3"/>
        <v>0.67803492916965724</v>
      </c>
      <c r="P20" s="152">
        <f>+'EJ. DESAGREGADA'!AA12</f>
        <v>2263259032</v>
      </c>
      <c r="Q20" s="154">
        <f t="shared" si="4"/>
        <v>0.55440917524232725</v>
      </c>
    </row>
    <row r="21" spans="1:49" x14ac:dyDescent="0.3">
      <c r="A21" s="274" t="s">
        <v>27</v>
      </c>
      <c r="B21" s="275" t="s">
        <v>27</v>
      </c>
      <c r="C21" s="275" t="s">
        <v>45</v>
      </c>
      <c r="D21" s="149" t="s">
        <v>48</v>
      </c>
      <c r="E21" s="276"/>
      <c r="F21" s="143"/>
      <c r="G21" s="143"/>
      <c r="H21" s="150" t="s">
        <v>49</v>
      </c>
      <c r="I21" s="151">
        <f>+'EJ. DESAGREGADA'!T13</f>
        <v>2420290000</v>
      </c>
      <c r="J21" s="152">
        <f>+'EJ. DESAGREGADA'!X13</f>
        <v>1758876748</v>
      </c>
      <c r="K21" s="379">
        <f t="shared" si="1"/>
        <v>0.72672148709452178</v>
      </c>
      <c r="L21" s="152">
        <f>+'EJ. DESAGREGADA'!AB13</f>
        <v>661413252</v>
      </c>
      <c r="M21" s="344">
        <f>+'EJ. DESAGREGADA'!W13</f>
        <v>0</v>
      </c>
      <c r="N21" s="152">
        <f>+'EJ. DESAGREGADA'!Y13</f>
        <v>1758876748</v>
      </c>
      <c r="O21" s="153">
        <f t="shared" si="3"/>
        <v>0.72672148709452178</v>
      </c>
      <c r="P21" s="152">
        <f>+'EJ. DESAGREGADA'!AA13</f>
        <v>1758876748</v>
      </c>
      <c r="Q21" s="154">
        <f t="shared" si="4"/>
        <v>0.72672148709452178</v>
      </c>
    </row>
    <row r="22" spans="1:49" x14ac:dyDescent="0.3">
      <c r="A22" s="274" t="s">
        <v>27</v>
      </c>
      <c r="B22" s="275" t="s">
        <v>27</v>
      </c>
      <c r="C22" s="275" t="s">
        <v>45</v>
      </c>
      <c r="D22" s="149" t="s">
        <v>33</v>
      </c>
      <c r="E22" s="276"/>
      <c r="F22" s="143"/>
      <c r="G22" s="143"/>
      <c r="H22" s="150" t="s">
        <v>50</v>
      </c>
      <c r="I22" s="151">
        <f>+'EJ. DESAGREGADA'!T14</f>
        <v>3374290000</v>
      </c>
      <c r="J22" s="152">
        <f>+'EJ. DESAGREGADA'!X14</f>
        <v>2106867512.6500001</v>
      </c>
      <c r="K22" s="379">
        <f t="shared" si="1"/>
        <v>0.62438839360280241</v>
      </c>
      <c r="L22" s="152">
        <f>+'EJ. DESAGREGADA'!AB14</f>
        <v>1267422487.3499999</v>
      </c>
      <c r="M22" s="344">
        <f>+'EJ. DESAGREGADA'!W14</f>
        <v>0</v>
      </c>
      <c r="N22" s="152">
        <f>+'EJ. DESAGREGADA'!Y14</f>
        <v>2106867512.6500001</v>
      </c>
      <c r="O22" s="153">
        <f t="shared" si="3"/>
        <v>0.62438839360280241</v>
      </c>
      <c r="P22" s="152">
        <f>+'EJ. DESAGREGADA'!AA14</f>
        <v>2106867512.6500001</v>
      </c>
      <c r="Q22" s="154">
        <f t="shared" si="4"/>
        <v>0.62438839360280241</v>
      </c>
      <c r="AV22" s="123"/>
      <c r="AW22" s="118"/>
    </row>
    <row r="23" spans="1:49" x14ac:dyDescent="0.3">
      <c r="A23" s="274" t="s">
        <v>27</v>
      </c>
      <c r="B23" s="275" t="s">
        <v>27</v>
      </c>
      <c r="C23" s="275" t="s">
        <v>45</v>
      </c>
      <c r="D23" s="149" t="s">
        <v>51</v>
      </c>
      <c r="E23" s="276"/>
      <c r="F23" s="143"/>
      <c r="G23" s="143"/>
      <c r="H23" s="150" t="s">
        <v>52</v>
      </c>
      <c r="I23" s="151">
        <f>+'EJ. DESAGREGADA'!T15</f>
        <v>1698290000</v>
      </c>
      <c r="J23" s="152">
        <f>+'EJ. DESAGREGADA'!X15</f>
        <v>783815300</v>
      </c>
      <c r="K23" s="379">
        <f t="shared" si="1"/>
        <v>0.46153207049443851</v>
      </c>
      <c r="L23" s="152">
        <f>+'EJ. DESAGREGADA'!AB15</f>
        <v>914474700</v>
      </c>
      <c r="M23" s="344">
        <f>+'EJ. DESAGREGADA'!W15</f>
        <v>0</v>
      </c>
      <c r="N23" s="152">
        <f>+'EJ. DESAGREGADA'!Y15</f>
        <v>783815300</v>
      </c>
      <c r="O23" s="153">
        <f t="shared" si="3"/>
        <v>0.46153207049443851</v>
      </c>
      <c r="P23" s="152">
        <f>+'EJ. DESAGREGADA'!AA15</f>
        <v>783815300</v>
      </c>
      <c r="Q23" s="154">
        <f t="shared" si="4"/>
        <v>0.46153207049443851</v>
      </c>
    </row>
    <row r="24" spans="1:49" x14ac:dyDescent="0.3">
      <c r="A24" s="274" t="s">
        <v>27</v>
      </c>
      <c r="B24" s="275" t="s">
        <v>27</v>
      </c>
      <c r="C24" s="275" t="s">
        <v>45</v>
      </c>
      <c r="D24" s="149" t="s">
        <v>53</v>
      </c>
      <c r="E24" s="276"/>
      <c r="F24" s="143"/>
      <c r="G24" s="143"/>
      <c r="H24" s="150" t="s">
        <v>54</v>
      </c>
      <c r="I24" s="151">
        <f>+'EJ. DESAGREGADA'!T16</f>
        <v>254460000</v>
      </c>
      <c r="J24" s="152">
        <f>+'EJ. DESAGREGADA'!X16</f>
        <v>87740800</v>
      </c>
      <c r="K24" s="379">
        <f t="shared" si="1"/>
        <v>0.3448117582331211</v>
      </c>
      <c r="L24" s="152">
        <f>+'EJ. DESAGREGADA'!AB16</f>
        <v>166719200</v>
      </c>
      <c r="M24" s="344">
        <f>+'EJ. DESAGREGADA'!W16</f>
        <v>0</v>
      </c>
      <c r="N24" s="152">
        <f>+'EJ. DESAGREGADA'!Y16</f>
        <v>87740800</v>
      </c>
      <c r="O24" s="153">
        <f t="shared" si="3"/>
        <v>0.3448117582331211</v>
      </c>
      <c r="P24" s="152">
        <f>+'EJ. DESAGREGADA'!AA16</f>
        <v>87740800</v>
      </c>
      <c r="Q24" s="154">
        <f t="shared" si="4"/>
        <v>0.3448117582331211</v>
      </c>
    </row>
    <row r="25" spans="1:49" x14ac:dyDescent="0.3">
      <c r="A25" s="274" t="s">
        <v>27</v>
      </c>
      <c r="B25" s="275" t="s">
        <v>27</v>
      </c>
      <c r="C25" s="275" t="s">
        <v>45</v>
      </c>
      <c r="D25" s="149" t="s">
        <v>35</v>
      </c>
      <c r="E25" s="276"/>
      <c r="F25" s="143"/>
      <c r="G25" s="143"/>
      <c r="H25" s="150" t="s">
        <v>55</v>
      </c>
      <c r="I25" s="151">
        <f>+'EJ. DESAGREGADA'!T17</f>
        <v>1238290000</v>
      </c>
      <c r="J25" s="152">
        <f>+'EJ. DESAGREGADA'!X17</f>
        <v>587883600</v>
      </c>
      <c r="K25" s="379">
        <f t="shared" si="1"/>
        <v>0.47475437902268453</v>
      </c>
      <c r="L25" s="152">
        <f>+'EJ. DESAGREGADA'!AB17</f>
        <v>650406400</v>
      </c>
      <c r="M25" s="344">
        <f>+'EJ. DESAGREGADA'!W17</f>
        <v>0</v>
      </c>
      <c r="N25" s="152">
        <f>+'EJ. DESAGREGADA'!Y17</f>
        <v>587883600</v>
      </c>
      <c r="O25" s="153">
        <f t="shared" si="3"/>
        <v>0.47475437902268453</v>
      </c>
      <c r="P25" s="152">
        <f>+'EJ. DESAGREGADA'!AA17</f>
        <v>587883600</v>
      </c>
      <c r="Q25" s="154">
        <f t="shared" si="4"/>
        <v>0.47475437902268453</v>
      </c>
    </row>
    <row r="26" spans="1:49" x14ac:dyDescent="0.3">
      <c r="A26" s="274" t="s">
        <v>27</v>
      </c>
      <c r="B26" s="275" t="s">
        <v>27</v>
      </c>
      <c r="C26" s="275" t="s">
        <v>45</v>
      </c>
      <c r="D26" s="149" t="s">
        <v>37</v>
      </c>
      <c r="E26" s="276"/>
      <c r="F26" s="143"/>
      <c r="G26" s="143"/>
      <c r="H26" s="150" t="s">
        <v>56</v>
      </c>
      <c r="I26" s="151">
        <f>+'EJ. DESAGREGADA'!T18</f>
        <v>852290000</v>
      </c>
      <c r="J26" s="152">
        <f>+'EJ. DESAGREGADA'!X18</f>
        <v>391945100</v>
      </c>
      <c r="K26" s="379">
        <f t="shared" si="1"/>
        <v>0.45987293057527368</v>
      </c>
      <c r="L26" s="152">
        <f>+'EJ. DESAGREGADA'!AB18</f>
        <v>460344900</v>
      </c>
      <c r="M26" s="344">
        <f>+'EJ. DESAGREGADA'!W18</f>
        <v>0</v>
      </c>
      <c r="N26" s="152">
        <f>+'EJ. DESAGREGADA'!Y18</f>
        <v>391945100</v>
      </c>
      <c r="O26" s="153">
        <f t="shared" si="3"/>
        <v>0.45987293057527368</v>
      </c>
      <c r="P26" s="152">
        <f>+'EJ. DESAGREGADA'!AA18</f>
        <v>391945100</v>
      </c>
      <c r="Q26" s="154">
        <f t="shared" si="4"/>
        <v>0.45987293057527368</v>
      </c>
    </row>
    <row r="27" spans="1:49" s="130" customFormat="1" ht="41.25" customHeight="1" x14ac:dyDescent="0.3">
      <c r="A27" s="136" t="s">
        <v>27</v>
      </c>
      <c r="B27" s="137" t="s">
        <v>27</v>
      </c>
      <c r="C27" s="137" t="s">
        <v>57</v>
      </c>
      <c r="D27" s="137"/>
      <c r="E27" s="137"/>
      <c r="F27" s="137"/>
      <c r="G27" s="137"/>
      <c r="H27" s="138" t="s">
        <v>58</v>
      </c>
      <c r="I27" s="139">
        <f>+I29+I30+I31+I32+I33+I34+I35</f>
        <v>4461400000</v>
      </c>
      <c r="J27" s="139">
        <f>+J29+J30+J31+J32+J33+J34+J35</f>
        <v>1964898675</v>
      </c>
      <c r="K27" s="378">
        <f t="shared" si="1"/>
        <v>0.44042199197561305</v>
      </c>
      <c r="L27" s="139">
        <f t="shared" ref="L27:N27" si="8">+L29+L30+L31+L32+L33+L34+L35</f>
        <v>2496501325</v>
      </c>
      <c r="M27" s="139">
        <f>+M29+M30+M31+M32+M33+M34+M35</f>
        <v>0</v>
      </c>
      <c r="N27" s="139">
        <f t="shared" si="8"/>
        <v>1961880813</v>
      </c>
      <c r="O27" s="140">
        <f t="shared" si="3"/>
        <v>0.43974555363787154</v>
      </c>
      <c r="P27" s="139">
        <f>+P29+P30+P31+P32+P33+P34+P35</f>
        <v>1961880813</v>
      </c>
      <c r="Q27" s="141">
        <f t="shared" si="4"/>
        <v>0.43974555363787154</v>
      </c>
      <c r="AW27" s="131"/>
    </row>
    <row r="28" spans="1:49" x14ac:dyDescent="0.3">
      <c r="A28" s="272" t="s">
        <v>27</v>
      </c>
      <c r="B28" s="273" t="s">
        <v>27</v>
      </c>
      <c r="C28" s="273" t="s">
        <v>57</v>
      </c>
      <c r="D28" s="142" t="s">
        <v>30</v>
      </c>
      <c r="E28" s="155" t="s">
        <v>59</v>
      </c>
      <c r="F28" s="143"/>
      <c r="G28" s="143"/>
      <c r="H28" s="156" t="s">
        <v>60</v>
      </c>
      <c r="I28" s="157">
        <f>+I29+I30+I31</f>
        <v>2677000000</v>
      </c>
      <c r="J28" s="157">
        <f t="shared" ref="J28:N28" si="9">+J29+J30+J31</f>
        <v>1309141873</v>
      </c>
      <c r="K28" s="379">
        <f t="shared" si="1"/>
        <v>0.48903319872992157</v>
      </c>
      <c r="L28" s="157">
        <f t="shared" si="9"/>
        <v>1367858127</v>
      </c>
      <c r="M28" s="157">
        <f>+M29+M30+M31</f>
        <v>0</v>
      </c>
      <c r="N28" s="157">
        <f t="shared" si="9"/>
        <v>1309141873</v>
      </c>
      <c r="O28" s="146">
        <f t="shared" si="3"/>
        <v>0.48903319872992157</v>
      </c>
      <c r="P28" s="157">
        <f>+P29+P30+P31</f>
        <v>1309141873</v>
      </c>
      <c r="Q28" s="158">
        <f t="shared" si="4"/>
        <v>0.48903319872992157</v>
      </c>
    </row>
    <row r="29" spans="1:49" x14ac:dyDescent="0.3">
      <c r="A29" s="274" t="s">
        <v>27</v>
      </c>
      <c r="B29" s="275" t="s">
        <v>27</v>
      </c>
      <c r="C29" s="275" t="s">
        <v>57</v>
      </c>
      <c r="D29" s="149" t="s">
        <v>30</v>
      </c>
      <c r="E29" s="149" t="s">
        <v>30</v>
      </c>
      <c r="F29" s="143"/>
      <c r="G29" s="143"/>
      <c r="H29" s="150" t="s">
        <v>61</v>
      </c>
      <c r="I29" s="159">
        <f>+'EJ. DESAGREGADA'!T19</f>
        <v>1797000000</v>
      </c>
      <c r="J29" s="152">
        <f>+'EJ. DESAGREGADA'!X19</f>
        <v>1224222737</v>
      </c>
      <c r="K29" s="379">
        <f t="shared" si="1"/>
        <v>0.68125917473567055</v>
      </c>
      <c r="L29" s="152">
        <f>+'EJ. DESAGREGADA'!AB19</f>
        <v>572777263</v>
      </c>
      <c r="M29" s="344">
        <f>+'EJ. DESAGREGADA'!W19</f>
        <v>0</v>
      </c>
      <c r="N29" s="152">
        <f>+'EJ. DESAGREGADA'!Y19</f>
        <v>1224222737</v>
      </c>
      <c r="O29" s="153">
        <f t="shared" si="3"/>
        <v>0.68125917473567055</v>
      </c>
      <c r="P29" s="152">
        <f>+'EJ. DESAGREGADA'!AA19</f>
        <v>1224222737</v>
      </c>
      <c r="Q29" s="154">
        <f t="shared" si="4"/>
        <v>0.68125917473567055</v>
      </c>
    </row>
    <row r="30" spans="1:49" x14ac:dyDescent="0.3">
      <c r="A30" s="274" t="s">
        <v>27</v>
      </c>
      <c r="B30" s="275" t="s">
        <v>27</v>
      </c>
      <c r="C30" s="275" t="s">
        <v>57</v>
      </c>
      <c r="D30" s="149" t="s">
        <v>30</v>
      </c>
      <c r="E30" s="149" t="s">
        <v>48</v>
      </c>
      <c r="F30" s="143"/>
      <c r="G30" s="143"/>
      <c r="H30" s="150" t="s">
        <v>62</v>
      </c>
      <c r="I30" s="159">
        <f>+'EJ. DESAGREGADA'!T20</f>
        <v>700000000</v>
      </c>
      <c r="J30" s="152">
        <f>+'EJ. DESAGREGADA'!X20</f>
        <v>0</v>
      </c>
      <c r="K30" s="379">
        <f t="shared" si="1"/>
        <v>0</v>
      </c>
      <c r="L30" s="152">
        <f>+'EJ. DESAGREGADA'!AB20</f>
        <v>700000000</v>
      </c>
      <c r="M30" s="344">
        <f>+'EJ. DESAGREGADA'!W20</f>
        <v>0</v>
      </c>
      <c r="N30" s="152">
        <f>+'EJ. DESAGREGADA'!Y20</f>
        <v>0</v>
      </c>
      <c r="O30" s="153">
        <f t="shared" si="3"/>
        <v>0</v>
      </c>
      <c r="P30" s="152">
        <f>+'EJ. DESAGREGADA'!AA20</f>
        <v>0</v>
      </c>
      <c r="Q30" s="154">
        <f t="shared" si="4"/>
        <v>0</v>
      </c>
    </row>
    <row r="31" spans="1:49" x14ac:dyDescent="0.3">
      <c r="A31" s="274" t="s">
        <v>27</v>
      </c>
      <c r="B31" s="275" t="s">
        <v>27</v>
      </c>
      <c r="C31" s="275" t="s">
        <v>57</v>
      </c>
      <c r="D31" s="149" t="s">
        <v>30</v>
      </c>
      <c r="E31" s="149" t="s">
        <v>33</v>
      </c>
      <c r="F31" s="143"/>
      <c r="G31" s="143"/>
      <c r="H31" s="150" t="s">
        <v>63</v>
      </c>
      <c r="I31" s="159">
        <f>+'EJ. DESAGREGADA'!T21</f>
        <v>180000000</v>
      </c>
      <c r="J31" s="152">
        <f>+'EJ. DESAGREGADA'!X21</f>
        <v>84919136</v>
      </c>
      <c r="K31" s="379">
        <f t="shared" si="1"/>
        <v>0.47177297777777777</v>
      </c>
      <c r="L31" s="152">
        <f>+'EJ. DESAGREGADA'!AB21</f>
        <v>95080864</v>
      </c>
      <c r="M31" s="344">
        <f>+'EJ. DESAGREGADA'!W21</f>
        <v>0</v>
      </c>
      <c r="N31" s="152">
        <f>+'EJ. DESAGREGADA'!Y21</f>
        <v>84919136</v>
      </c>
      <c r="O31" s="153">
        <f t="shared" si="3"/>
        <v>0.47177297777777777</v>
      </c>
      <c r="P31" s="152">
        <f>+'EJ. DESAGREGADA'!AA21</f>
        <v>84919136</v>
      </c>
      <c r="Q31" s="154">
        <f t="shared" si="4"/>
        <v>0.47177297777777777</v>
      </c>
    </row>
    <row r="32" spans="1:49" x14ac:dyDescent="0.3">
      <c r="A32" s="274" t="s">
        <v>27</v>
      </c>
      <c r="B32" s="275" t="s">
        <v>27</v>
      </c>
      <c r="C32" s="275" t="s">
        <v>57</v>
      </c>
      <c r="D32" s="149" t="s">
        <v>48</v>
      </c>
      <c r="E32" s="149"/>
      <c r="F32" s="143"/>
      <c r="G32" s="143"/>
      <c r="H32" s="150" t="s">
        <v>64</v>
      </c>
      <c r="I32" s="159">
        <f>+'EJ. DESAGREGADA'!T22</f>
        <v>1388952000</v>
      </c>
      <c r="J32" s="152">
        <f>+'EJ. DESAGREGADA'!X22</f>
        <v>515125239</v>
      </c>
      <c r="K32" s="379">
        <f t="shared" si="1"/>
        <v>0.37087331959635755</v>
      </c>
      <c r="L32" s="152">
        <f>+'EJ. DESAGREGADA'!AB22</f>
        <v>873826761</v>
      </c>
      <c r="M32" s="344">
        <f>+'EJ. DESAGREGADA'!W22</f>
        <v>0</v>
      </c>
      <c r="N32" s="152">
        <f>+'EJ. DESAGREGADA'!Y22</f>
        <v>512107377</v>
      </c>
      <c r="O32" s="153">
        <f t="shared" si="3"/>
        <v>0.36870055768665871</v>
      </c>
      <c r="P32" s="152">
        <f>+'EJ. DESAGREGADA'!AA22</f>
        <v>512107377</v>
      </c>
      <c r="Q32" s="154">
        <f t="shared" si="4"/>
        <v>0.36870055768665871</v>
      </c>
    </row>
    <row r="33" spans="1:49" x14ac:dyDescent="0.3">
      <c r="A33" s="274" t="s">
        <v>27</v>
      </c>
      <c r="B33" s="275" t="s">
        <v>27</v>
      </c>
      <c r="C33" s="275" t="s">
        <v>57</v>
      </c>
      <c r="D33" s="149">
        <v>13</v>
      </c>
      <c r="E33" s="149"/>
      <c r="F33" s="143"/>
      <c r="G33" s="143"/>
      <c r="H33" s="150" t="s">
        <v>65</v>
      </c>
      <c r="I33" s="159">
        <f>+'EJ. DESAGREGADA'!T23</f>
        <v>180000000</v>
      </c>
      <c r="J33" s="152">
        <f>+'EJ. DESAGREGADA'!X23</f>
        <v>0</v>
      </c>
      <c r="K33" s="379">
        <f t="shared" si="1"/>
        <v>0</v>
      </c>
      <c r="L33" s="152">
        <f>+'EJ. DESAGREGADA'!AB23</f>
        <v>180000000</v>
      </c>
      <c r="M33" s="344">
        <f>+'EJ. DESAGREGADA'!W23</f>
        <v>0</v>
      </c>
      <c r="N33" s="152">
        <f>+'EJ. DESAGREGADA'!Y23</f>
        <v>0</v>
      </c>
      <c r="O33" s="153">
        <f t="shared" si="3"/>
        <v>0</v>
      </c>
      <c r="P33" s="152">
        <f>+'EJ. DESAGREGADA'!AA23</f>
        <v>0</v>
      </c>
      <c r="Q33" s="154">
        <f t="shared" si="4"/>
        <v>0</v>
      </c>
    </row>
    <row r="34" spans="1:49" x14ac:dyDescent="0.3">
      <c r="A34" s="274" t="s">
        <v>27</v>
      </c>
      <c r="B34" s="275" t="s">
        <v>27</v>
      </c>
      <c r="C34" s="275" t="s">
        <v>57</v>
      </c>
      <c r="D34" s="149" t="s">
        <v>66</v>
      </c>
      <c r="E34" s="149"/>
      <c r="F34" s="143"/>
      <c r="G34" s="143"/>
      <c r="H34" s="150" t="s">
        <v>67</v>
      </c>
      <c r="I34" s="159">
        <f>+'EJ. DESAGREGADA'!T24</f>
        <v>84000000</v>
      </c>
      <c r="J34" s="152">
        <f>+'EJ. DESAGREGADA'!X24</f>
        <v>76667523</v>
      </c>
      <c r="K34" s="379">
        <f t="shared" si="1"/>
        <v>0.91270860714285718</v>
      </c>
      <c r="L34" s="152">
        <f>+'EJ. DESAGREGADA'!AB24</f>
        <v>7332477</v>
      </c>
      <c r="M34" s="344">
        <f>+'EJ. DESAGREGADA'!W24</f>
        <v>0</v>
      </c>
      <c r="N34" s="152">
        <f>+'EJ. DESAGREGADA'!Y24</f>
        <v>76667523</v>
      </c>
      <c r="O34" s="153">
        <f t="shared" si="3"/>
        <v>0.91270860714285718</v>
      </c>
      <c r="P34" s="152">
        <f>+'EJ. DESAGREGADA'!AA24</f>
        <v>76667523</v>
      </c>
      <c r="Q34" s="154">
        <f t="shared" si="4"/>
        <v>0.91270860714285718</v>
      </c>
    </row>
    <row r="35" spans="1:49" x14ac:dyDescent="0.3">
      <c r="A35" s="274" t="s">
        <v>27</v>
      </c>
      <c r="B35" s="275" t="s">
        <v>27</v>
      </c>
      <c r="C35" s="275" t="s">
        <v>57</v>
      </c>
      <c r="D35" s="149" t="s">
        <v>68</v>
      </c>
      <c r="E35" s="149"/>
      <c r="F35" s="143"/>
      <c r="G35" s="143"/>
      <c r="H35" s="150" t="s">
        <v>69</v>
      </c>
      <c r="I35" s="159">
        <f>+'EJ. DESAGREGADA'!T25</f>
        <v>131448000</v>
      </c>
      <c r="J35" s="152">
        <f>+'EJ. DESAGREGADA'!X25</f>
        <v>63964040</v>
      </c>
      <c r="K35" s="379">
        <f t="shared" si="1"/>
        <v>0.48661097924654617</v>
      </c>
      <c r="L35" s="152">
        <f>+'EJ. DESAGREGADA'!AB25</f>
        <v>67483960</v>
      </c>
      <c r="M35" s="344">
        <f>+'EJ. DESAGREGADA'!W25</f>
        <v>0</v>
      </c>
      <c r="N35" s="152">
        <f>+'EJ. DESAGREGADA'!Y25</f>
        <v>63964040</v>
      </c>
      <c r="O35" s="153">
        <f t="shared" si="3"/>
        <v>0.48661097924654617</v>
      </c>
      <c r="P35" s="152">
        <f>+'EJ. DESAGREGADA'!AA25</f>
        <v>63964040</v>
      </c>
      <c r="Q35" s="154">
        <f t="shared" si="4"/>
        <v>0.48661097924654617</v>
      </c>
    </row>
    <row r="36" spans="1:49" s="130" customFormat="1" x14ac:dyDescent="0.3">
      <c r="A36" s="277" t="s">
        <v>27</v>
      </c>
      <c r="B36" s="278" t="s">
        <v>27</v>
      </c>
      <c r="C36" s="278">
        <v>4</v>
      </c>
      <c r="D36" s="137"/>
      <c r="E36" s="137"/>
      <c r="F36" s="137"/>
      <c r="G36" s="137"/>
      <c r="H36" s="138" t="s">
        <v>70</v>
      </c>
      <c r="I36" s="139">
        <f>'EJ. AGREGADA'!T8</f>
        <v>8294500000</v>
      </c>
      <c r="J36" s="139">
        <f>'EJ. AGREGADA'!X8</f>
        <v>0</v>
      </c>
      <c r="K36" s="378">
        <f t="shared" si="1"/>
        <v>0</v>
      </c>
      <c r="L36" s="139"/>
      <c r="M36" s="139">
        <f>'EJ. AGREGADA'!W8</f>
        <v>0</v>
      </c>
      <c r="N36" s="139">
        <f>'EJ. AGREGADA'!Y8</f>
        <v>0</v>
      </c>
      <c r="O36" s="140"/>
      <c r="P36" s="139">
        <f>'EJ. AGREGADA'!AA8</f>
        <v>0</v>
      </c>
      <c r="Q36" s="141"/>
      <c r="AW36" s="131"/>
    </row>
    <row r="37" spans="1:49" s="130" customFormat="1" x14ac:dyDescent="0.3">
      <c r="A37" s="268">
        <v>2</v>
      </c>
      <c r="B37" s="124" t="s">
        <v>59</v>
      </c>
      <c r="C37" s="269" t="s">
        <v>59</v>
      </c>
      <c r="D37" s="124" t="s">
        <v>59</v>
      </c>
      <c r="E37" s="269"/>
      <c r="F37" s="124"/>
      <c r="G37" s="124"/>
      <c r="H37" s="125" t="s">
        <v>71</v>
      </c>
      <c r="I37" s="126">
        <f>I38+I43</f>
        <v>23776000000</v>
      </c>
      <c r="J37" s="126">
        <f>J38+J43</f>
        <v>16222244509.23</v>
      </c>
      <c r="K37" s="376">
        <f t="shared" si="1"/>
        <v>0.682294940664115</v>
      </c>
      <c r="L37" s="126">
        <f>+L38+L43</f>
        <v>2875696132.7599998</v>
      </c>
      <c r="M37" s="126">
        <f>+M38+M43</f>
        <v>6756098121.0100002</v>
      </c>
      <c r="N37" s="126">
        <f>N38+N43</f>
        <v>10299976669.77</v>
      </c>
      <c r="O37" s="127">
        <f>+N37/I37</f>
        <v>0.43320897837188765</v>
      </c>
      <c r="P37" s="126">
        <f>+P38</f>
        <v>10296273380.77</v>
      </c>
      <c r="Q37" s="128">
        <f t="shared" si="4"/>
        <v>0.43305322092740578</v>
      </c>
      <c r="AW37" s="131"/>
    </row>
    <row r="38" spans="1:49" x14ac:dyDescent="0.3">
      <c r="A38" s="277">
        <v>2</v>
      </c>
      <c r="B38" s="278">
        <v>1</v>
      </c>
      <c r="C38" s="278"/>
      <c r="D38" s="170"/>
      <c r="E38" s="160"/>
      <c r="F38" s="171"/>
      <c r="G38" s="171"/>
      <c r="H38" s="138" t="s">
        <v>72</v>
      </c>
      <c r="I38" s="139">
        <f>+I41</f>
        <v>70000000</v>
      </c>
      <c r="J38" s="139">
        <f>+J39</f>
        <v>0</v>
      </c>
      <c r="K38" s="378">
        <f t="shared" si="1"/>
        <v>0</v>
      </c>
      <c r="L38" s="139">
        <f>+L39</f>
        <v>70000000</v>
      </c>
      <c r="M38" s="139">
        <f>+M39</f>
        <v>0</v>
      </c>
      <c r="N38" s="139">
        <f>+N41</f>
        <v>0</v>
      </c>
      <c r="O38" s="140">
        <f t="shared" ref="O38:O40" si="10">+N38/I38</f>
        <v>0</v>
      </c>
      <c r="P38" s="139">
        <f>+P44+P48+P56+P61+P66+P70+P77+P82</f>
        <v>10296273380.77</v>
      </c>
      <c r="Q38" s="141">
        <f>+P38/I38</f>
        <v>147.08961972528573</v>
      </c>
    </row>
    <row r="39" spans="1:49" s="130" customFormat="1" ht="50.25" customHeight="1" x14ac:dyDescent="0.3">
      <c r="A39" s="272">
        <v>2</v>
      </c>
      <c r="B39" s="273">
        <v>1</v>
      </c>
      <c r="C39" s="142">
        <v>1</v>
      </c>
      <c r="D39" s="142"/>
      <c r="E39" s="143"/>
      <c r="F39" s="143"/>
      <c r="G39" s="143"/>
      <c r="H39" s="164" t="s">
        <v>73</v>
      </c>
      <c r="I39" s="173">
        <f>+I40</f>
        <v>70000000</v>
      </c>
      <c r="J39" s="173">
        <f>+J40</f>
        <v>0</v>
      </c>
      <c r="K39" s="381">
        <f t="shared" si="1"/>
        <v>0</v>
      </c>
      <c r="L39" s="173">
        <f>+L40</f>
        <v>70000000</v>
      </c>
      <c r="M39" s="173">
        <f>+M40</f>
        <v>0</v>
      </c>
      <c r="N39" s="173">
        <f>+N40</f>
        <v>0</v>
      </c>
      <c r="O39" s="168">
        <f t="shared" si="10"/>
        <v>0</v>
      </c>
      <c r="P39" s="173">
        <f>+P40</f>
        <v>0</v>
      </c>
      <c r="Q39" s="169">
        <f t="shared" ref="Q39:Q41" si="11">+P39/I39</f>
        <v>0</v>
      </c>
      <c r="AW39" s="131"/>
    </row>
    <row r="40" spans="1:49" s="130" customFormat="1" ht="50.25" customHeight="1" x14ac:dyDescent="0.3">
      <c r="A40" s="272">
        <v>2</v>
      </c>
      <c r="B40" s="273">
        <v>1</v>
      </c>
      <c r="C40" s="273">
        <v>1</v>
      </c>
      <c r="D40" s="142">
        <v>4</v>
      </c>
      <c r="E40" s="143"/>
      <c r="F40" s="143"/>
      <c r="G40" s="143"/>
      <c r="H40" s="164" t="s">
        <v>74</v>
      </c>
      <c r="I40" s="173">
        <f>+I41</f>
        <v>70000000</v>
      </c>
      <c r="J40" s="173">
        <f>+J41</f>
        <v>0</v>
      </c>
      <c r="K40" s="381">
        <f t="shared" si="1"/>
        <v>0</v>
      </c>
      <c r="L40" s="173">
        <f>L41</f>
        <v>70000000</v>
      </c>
      <c r="M40" s="173"/>
      <c r="N40" s="173"/>
      <c r="O40" s="168">
        <f t="shared" si="10"/>
        <v>0</v>
      </c>
      <c r="P40" s="173"/>
      <c r="Q40" s="169">
        <f t="shared" si="11"/>
        <v>0</v>
      </c>
      <c r="AW40" s="131"/>
    </row>
    <row r="41" spans="1:49" x14ac:dyDescent="0.3">
      <c r="A41" s="274">
        <v>2</v>
      </c>
      <c r="B41" s="275">
        <v>1</v>
      </c>
      <c r="C41" s="275">
        <v>1</v>
      </c>
      <c r="D41" s="149">
        <v>4</v>
      </c>
      <c r="E41" s="149">
        <v>7</v>
      </c>
      <c r="F41" s="143"/>
      <c r="G41" s="143"/>
      <c r="H41" s="167" t="s">
        <v>75</v>
      </c>
      <c r="I41" s="159">
        <f>+'EJ. DESAGREGADA'!T26</f>
        <v>70000000</v>
      </c>
      <c r="J41" s="159">
        <f>+'EJ. DESAGREGADA'!X26</f>
        <v>0</v>
      </c>
      <c r="K41" s="381">
        <f t="shared" ref="K41" si="12">+J41/I41</f>
        <v>0</v>
      </c>
      <c r="L41" s="159">
        <f>+'EJ. DESAGREGADA'!AB26</f>
        <v>70000000</v>
      </c>
      <c r="M41" s="159">
        <f>+'EJ. DESAGREGADA'!W26</f>
        <v>0</v>
      </c>
      <c r="N41" s="159">
        <f>+'EJ. DESAGREGADA'!Y26</f>
        <v>0</v>
      </c>
      <c r="O41" s="168">
        <f>+N41/I41</f>
        <v>0</v>
      </c>
      <c r="P41" s="159">
        <f>+'EJ. DESAGREGADA'!Z26</f>
        <v>0</v>
      </c>
      <c r="Q41" s="169">
        <f t="shared" si="11"/>
        <v>0</v>
      </c>
    </row>
    <row r="42" spans="1:49" x14ac:dyDescent="0.3">
      <c r="A42" s="277">
        <v>2</v>
      </c>
      <c r="B42" s="278">
        <v>2</v>
      </c>
      <c r="C42" s="278"/>
      <c r="D42" s="170"/>
      <c r="E42" s="160"/>
      <c r="F42" s="171"/>
      <c r="G42" s="171"/>
      <c r="H42" s="138" t="s">
        <v>72</v>
      </c>
      <c r="I42" s="139">
        <f>+I43</f>
        <v>23706000000</v>
      </c>
      <c r="J42" s="139">
        <f>+J43</f>
        <v>16222244509.23</v>
      </c>
      <c r="K42" s="378">
        <f t="shared" ref="K42" si="13">+J42/I42</f>
        <v>0.68430964773601621</v>
      </c>
      <c r="L42" s="139">
        <f>+L43</f>
        <v>2805696132.7599998</v>
      </c>
      <c r="M42" s="139">
        <f>+M43</f>
        <v>6756098121.0100002</v>
      </c>
      <c r="N42" s="139">
        <f>+N43</f>
        <v>10299976669.77</v>
      </c>
      <c r="O42" s="140">
        <f t="shared" ref="O42" si="14">+N42/I42</f>
        <v>0.43448817471399648</v>
      </c>
      <c r="P42" s="139">
        <f>+P43</f>
        <v>10296273380.77</v>
      </c>
      <c r="Q42" s="141">
        <f>+P42/I42</f>
        <v>0.43433195734286678</v>
      </c>
    </row>
    <row r="43" spans="1:49" s="130" customFormat="1" ht="14.25" customHeight="1" x14ac:dyDescent="0.3">
      <c r="A43" s="272">
        <v>2</v>
      </c>
      <c r="B43" s="273">
        <v>2</v>
      </c>
      <c r="C43" s="273">
        <v>1</v>
      </c>
      <c r="D43" s="172"/>
      <c r="E43" s="155"/>
      <c r="F43" s="143"/>
      <c r="G43" s="143"/>
      <c r="H43" s="164" t="s">
        <v>76</v>
      </c>
      <c r="I43" s="157">
        <f>+I44+I48+I56+I61+I66+I70+I77+I82</f>
        <v>23706000000</v>
      </c>
      <c r="J43" s="157">
        <f>+J44+J48+J56+J61+J66+J70+J77+J82</f>
        <v>16222244509.23</v>
      </c>
      <c r="K43" s="382">
        <f>+J43/I43</f>
        <v>0.68430964773601621</v>
      </c>
      <c r="L43" s="157">
        <f>+L44+L48+L56+L61+L66+L70+L77+L82</f>
        <v>2805696132.7599998</v>
      </c>
      <c r="M43" s="157">
        <f>+M44+M48+M56+M61+M66+M70+M77+M82</f>
        <v>6756098121.0100002</v>
      </c>
      <c r="N43" s="157">
        <f>+N44+N48+N56+N61+N66+N70+N77+N82</f>
        <v>10299976669.77</v>
      </c>
      <c r="O43" s="165">
        <f>+N43/I43</f>
        <v>0.43448817471399648</v>
      </c>
      <c r="P43" s="157">
        <f>+P44+P48+P56+P61+P66+P70+P77+P82</f>
        <v>10296273380.77</v>
      </c>
      <c r="Q43" s="166">
        <f>+P43/I43</f>
        <v>0.43433195734286678</v>
      </c>
      <c r="AW43" s="131"/>
    </row>
    <row r="44" spans="1:49" s="130" customFormat="1" ht="50.25" customHeight="1" x14ac:dyDescent="0.3">
      <c r="A44" s="272">
        <v>2</v>
      </c>
      <c r="B44" s="273">
        <v>2</v>
      </c>
      <c r="C44" s="273">
        <v>1</v>
      </c>
      <c r="D44" s="142">
        <v>2</v>
      </c>
      <c r="E44" s="143"/>
      <c r="F44" s="143"/>
      <c r="G44" s="143"/>
      <c r="H44" s="164" t="s">
        <v>77</v>
      </c>
      <c r="I44" s="289">
        <f>+SUM(I45:I47)</f>
        <v>9694952.7799999993</v>
      </c>
      <c r="J44" s="289">
        <f>+SUM(J45:J47)</f>
        <v>8749542.3800000008</v>
      </c>
      <c r="K44" s="382">
        <f>+J44/I44</f>
        <v>0.90248426975835172</v>
      </c>
      <c r="L44" s="289">
        <f>+SUM(L45:L47)</f>
        <v>945410.39999999956</v>
      </c>
      <c r="M44" s="289">
        <f>+SUM(M45:M47)</f>
        <v>0</v>
      </c>
      <c r="N44" s="173">
        <f>+SUM(N45:N47)</f>
        <v>5728251.0300000003</v>
      </c>
      <c r="O44" s="165">
        <f>+N44/I44</f>
        <v>0.59084878080241676</v>
      </c>
      <c r="P44" s="173">
        <f>+SUM(P45:P47)</f>
        <v>5370551.0300000003</v>
      </c>
      <c r="Q44" s="166">
        <f>+P44/I44</f>
        <v>0.55395329424183137</v>
      </c>
      <c r="AW44" s="131"/>
    </row>
    <row r="45" spans="1:49" ht="21.6" x14ac:dyDescent="0.3">
      <c r="A45" s="274">
        <v>2</v>
      </c>
      <c r="B45" s="275">
        <v>2</v>
      </c>
      <c r="C45" s="275">
        <v>1</v>
      </c>
      <c r="D45" s="149">
        <v>2</v>
      </c>
      <c r="E45" s="149">
        <v>3</v>
      </c>
      <c r="F45" s="143"/>
      <c r="G45" s="143"/>
      <c r="H45" s="167" t="s">
        <v>78</v>
      </c>
      <c r="I45" s="159">
        <f>+'EJ. DESAGREGADA'!T27</f>
        <v>4319775</v>
      </c>
      <c r="J45" s="159">
        <f>+'EJ. DESAGREGADA'!X27</f>
        <v>3893697</v>
      </c>
      <c r="K45" s="381">
        <f t="shared" si="1"/>
        <v>0.90136569613000672</v>
      </c>
      <c r="L45" s="159">
        <f>+'EJ. DESAGREGADA'!AB27</f>
        <v>426078</v>
      </c>
      <c r="M45" s="159">
        <f>+'EJ. DESAGREGADA'!W27</f>
        <v>0</v>
      </c>
      <c r="N45" s="159">
        <f>+'EJ. DESAGREGADA'!Y27</f>
        <v>3893697</v>
      </c>
      <c r="O45" s="168">
        <f>+N45/I45</f>
        <v>0.90136569613000672</v>
      </c>
      <c r="P45" s="159">
        <f>+'EJ. DESAGREGADA'!AA27</f>
        <v>3535997</v>
      </c>
      <c r="Q45" s="169">
        <f t="shared" si="4"/>
        <v>0.81856045743123196</v>
      </c>
    </row>
    <row r="46" spans="1:49" x14ac:dyDescent="0.3">
      <c r="A46" s="274">
        <v>2</v>
      </c>
      <c r="B46" s="275">
        <v>2</v>
      </c>
      <c r="C46" s="275">
        <v>1</v>
      </c>
      <c r="D46" s="149">
        <v>2</v>
      </c>
      <c r="E46" s="149">
        <v>6</v>
      </c>
      <c r="F46" s="143"/>
      <c r="G46" s="143"/>
      <c r="H46" s="167" t="s">
        <v>79</v>
      </c>
      <c r="I46" s="159">
        <f>+'EJ. DESAGREGADA'!T28</f>
        <v>4999266.26</v>
      </c>
      <c r="J46" s="159">
        <f>+'EJ. DESAGREGADA'!X28</f>
        <v>4581208.99</v>
      </c>
      <c r="K46" s="381">
        <f t="shared" si="1"/>
        <v>0.91637627438551361</v>
      </c>
      <c r="L46" s="159">
        <f>+'EJ. DESAGREGADA'!AB28</f>
        <v>418057.26999999955</v>
      </c>
      <c r="M46" s="159">
        <f>+'EJ. DESAGREGADA'!W28</f>
        <v>0</v>
      </c>
      <c r="N46" s="159">
        <f>+'EJ. DESAGREGADA'!Y28</f>
        <v>1673542</v>
      </c>
      <c r="O46" s="168">
        <f t="shared" ref="O46:O47" si="15">+N46/I46</f>
        <v>0.33475752499727829</v>
      </c>
      <c r="P46" s="159">
        <f>+'EJ. DESAGREGADA'!AA28</f>
        <v>1673542</v>
      </c>
      <c r="Q46" s="169">
        <f t="shared" si="4"/>
        <v>0.33475752499727829</v>
      </c>
    </row>
    <row r="47" spans="1:49" x14ac:dyDescent="0.3">
      <c r="A47" s="274">
        <v>2</v>
      </c>
      <c r="B47" s="275">
        <v>2</v>
      </c>
      <c r="C47" s="275">
        <v>1</v>
      </c>
      <c r="D47" s="149">
        <v>2</v>
      </c>
      <c r="E47" s="149">
        <v>7</v>
      </c>
      <c r="F47" s="143"/>
      <c r="G47" s="143"/>
      <c r="H47" s="167" t="s">
        <v>80</v>
      </c>
      <c r="I47" s="159">
        <f>+'EJ. DESAGREGADA'!T29</f>
        <v>375911.52</v>
      </c>
      <c r="J47" s="159">
        <f>+'EJ. DESAGREGADA'!X29</f>
        <v>274636.39</v>
      </c>
      <c r="K47" s="381">
        <f t="shared" si="1"/>
        <v>0.73058785216265787</v>
      </c>
      <c r="L47" s="159">
        <f>+'EJ. DESAGREGADA'!AB29</f>
        <v>101275.13</v>
      </c>
      <c r="M47" s="159">
        <f>+'EJ. DESAGREGADA'!W29</f>
        <v>0</v>
      </c>
      <c r="N47" s="159">
        <f>+'EJ. DESAGREGADA'!Y29</f>
        <v>161012.03</v>
      </c>
      <c r="O47" s="168">
        <f t="shared" si="15"/>
        <v>0.42832427694687303</v>
      </c>
      <c r="P47" s="159">
        <f>+'EJ. DESAGREGADA'!AA29</f>
        <v>161012.03</v>
      </c>
      <c r="Q47" s="169">
        <f t="shared" si="4"/>
        <v>0.42832427694687303</v>
      </c>
    </row>
    <row r="48" spans="1:49" s="130" customFormat="1" ht="21.6" x14ac:dyDescent="0.3">
      <c r="A48" s="279">
        <v>2</v>
      </c>
      <c r="B48" s="280">
        <v>2</v>
      </c>
      <c r="C48" s="280">
        <v>1</v>
      </c>
      <c r="D48" s="174">
        <v>3</v>
      </c>
      <c r="E48" s="143"/>
      <c r="F48" s="143"/>
      <c r="G48" s="143"/>
      <c r="H48" s="164" t="s">
        <v>81</v>
      </c>
      <c r="I48" s="289">
        <f>SUM(I49:I55)</f>
        <v>32392402.98</v>
      </c>
      <c r="J48" s="289">
        <f>SUM(J49:J55)</f>
        <v>19407461.949999999</v>
      </c>
      <c r="K48" s="382">
        <f>+J48/I48</f>
        <v>0.59913622221799112</v>
      </c>
      <c r="L48" s="289">
        <f>SUM(L49:L55)</f>
        <v>12984940.529999997</v>
      </c>
      <c r="M48" s="289">
        <f>SUM(M49:M55)</f>
        <v>0.5</v>
      </c>
      <c r="N48" s="173">
        <f>SUM(N49:N55)</f>
        <v>7643875.5100000007</v>
      </c>
      <c r="O48" s="165">
        <f>+N48/I48</f>
        <v>0.23597741466477645</v>
      </c>
      <c r="P48" s="173">
        <f>SUM(P49:P55)</f>
        <v>7643875.5100000007</v>
      </c>
      <c r="Q48" s="165">
        <f>+P48/I48</f>
        <v>0.23597741466477645</v>
      </c>
      <c r="AW48" s="131"/>
    </row>
    <row r="49" spans="1:49" s="130" customFormat="1" x14ac:dyDescent="0.3">
      <c r="A49" s="281">
        <v>2</v>
      </c>
      <c r="B49" s="282">
        <v>2</v>
      </c>
      <c r="C49" s="282">
        <v>1</v>
      </c>
      <c r="D49" s="175">
        <v>3</v>
      </c>
      <c r="E49" s="175">
        <v>1</v>
      </c>
      <c r="F49" s="143"/>
      <c r="G49" s="143"/>
      <c r="H49" s="167" t="s">
        <v>82</v>
      </c>
      <c r="I49" s="159">
        <f>+'EJ. DESAGREGADA'!T30</f>
        <v>222201.96</v>
      </c>
      <c r="J49" s="159">
        <f>+'EJ. DESAGREGADA'!X30</f>
        <v>148087.96</v>
      </c>
      <c r="K49" s="381">
        <f t="shared" ref="K49:K56" si="16">+J49/I49</f>
        <v>0.66645658751164927</v>
      </c>
      <c r="L49" s="159">
        <f>+'EJ. DESAGREGADA'!AB30</f>
        <v>74114</v>
      </c>
      <c r="M49" s="159">
        <f>+'EJ. DESAGREGADA'!W30</f>
        <v>0</v>
      </c>
      <c r="N49" s="159">
        <f>+'EJ. DESAGREGADA'!Y30</f>
        <v>64788.6</v>
      </c>
      <c r="O49" s="168">
        <f t="shared" ref="O49:O56" si="17">+N49/I49</f>
        <v>0.29157528583456238</v>
      </c>
      <c r="P49" s="159">
        <f>+'EJ. DESAGREGADA'!AA30</f>
        <v>64788.6</v>
      </c>
      <c r="Q49" s="169">
        <f t="shared" ref="Q49:Q55" si="18">+P49/I49</f>
        <v>0.29157528583456238</v>
      </c>
      <c r="AW49" s="131"/>
    </row>
    <row r="50" spans="1:49" s="130" customFormat="1" ht="21.6" x14ac:dyDescent="0.3">
      <c r="A50" s="281">
        <v>2</v>
      </c>
      <c r="B50" s="282">
        <v>2</v>
      </c>
      <c r="C50" s="282">
        <v>1</v>
      </c>
      <c r="D50" s="175">
        <v>3</v>
      </c>
      <c r="E50" s="175">
        <v>2</v>
      </c>
      <c r="F50" s="143"/>
      <c r="G50" s="143"/>
      <c r="H50" s="167" t="s">
        <v>83</v>
      </c>
      <c r="I50" s="159">
        <f>+'EJ. DESAGREGADA'!T31</f>
        <v>15430942.949999999</v>
      </c>
      <c r="J50" s="159">
        <f>+'EJ. DESAGREGADA'!X31</f>
        <v>9658724.4199999999</v>
      </c>
      <c r="K50" s="381">
        <f t="shared" si="16"/>
        <v>0.62593222276153904</v>
      </c>
      <c r="L50" s="159">
        <f>+'EJ. DESAGREGADA'!AB31</f>
        <v>5772218.5299999993</v>
      </c>
      <c r="M50" s="159">
        <f>+'EJ. DESAGREGADA'!W31</f>
        <v>0</v>
      </c>
      <c r="N50" s="159">
        <f>+'EJ. DESAGREGADA'!Y31</f>
        <v>4211040.7300000004</v>
      </c>
      <c r="O50" s="168">
        <f t="shared" si="17"/>
        <v>0.27289587834293694</v>
      </c>
      <c r="P50" s="159">
        <f>+'EJ. DESAGREGADA'!AA31</f>
        <v>4211040.7300000004</v>
      </c>
      <c r="Q50" s="169">
        <f t="shared" si="18"/>
        <v>0.27289587834293694</v>
      </c>
      <c r="AW50" s="131"/>
    </row>
    <row r="51" spans="1:49" s="130" customFormat="1" ht="21.6" x14ac:dyDescent="0.3">
      <c r="A51" s="281">
        <v>2</v>
      </c>
      <c r="B51" s="282">
        <v>2</v>
      </c>
      <c r="C51" s="282">
        <v>1</v>
      </c>
      <c r="D51" s="175">
        <v>3</v>
      </c>
      <c r="E51" s="175">
        <v>3</v>
      </c>
      <c r="F51" s="143"/>
      <c r="G51" s="143"/>
      <c r="H51" s="167" t="s">
        <v>84</v>
      </c>
      <c r="I51" s="159">
        <f>+'EJ. DESAGREGADA'!T32</f>
        <v>1000000</v>
      </c>
      <c r="J51" s="159">
        <f>+'EJ. DESAGREGADA'!X32</f>
        <v>500000</v>
      </c>
      <c r="K51" s="381">
        <f t="shared" ref="K51" si="19">+J51/I51</f>
        <v>0.5</v>
      </c>
      <c r="L51" s="159">
        <f>+'EJ. DESAGREGADA'!AB32</f>
        <v>500000</v>
      </c>
      <c r="M51" s="159">
        <f>+'EJ. DESAGREGADA'!W32</f>
        <v>0</v>
      </c>
      <c r="N51" s="159">
        <f>+'EJ. DESAGREGADA'!Y32</f>
        <v>500000</v>
      </c>
      <c r="O51" s="168">
        <f t="shared" ref="O51" si="20">+N51/I51</f>
        <v>0.5</v>
      </c>
      <c r="P51" s="159">
        <f>+'EJ. DESAGREGADA'!AA32</f>
        <v>500000</v>
      </c>
      <c r="Q51" s="169">
        <f t="shared" ref="Q51" si="21">+P51/I51</f>
        <v>0.5</v>
      </c>
      <c r="AW51" s="131"/>
    </row>
    <row r="52" spans="1:49" s="130" customFormat="1" x14ac:dyDescent="0.3">
      <c r="A52" s="281">
        <v>2</v>
      </c>
      <c r="B52" s="282">
        <v>2</v>
      </c>
      <c r="C52" s="282">
        <v>1</v>
      </c>
      <c r="D52" s="175">
        <v>3</v>
      </c>
      <c r="E52" s="175">
        <v>4</v>
      </c>
      <c r="F52" s="143"/>
      <c r="G52" s="143"/>
      <c r="H52" s="286" t="s">
        <v>85</v>
      </c>
      <c r="I52" s="159">
        <f>+'EJ. DESAGREGADA'!T33</f>
        <v>407315.04</v>
      </c>
      <c r="J52" s="159">
        <f>+'EJ. DESAGREGADA'!X33</f>
        <v>373253.49</v>
      </c>
      <c r="K52" s="381">
        <f t="shared" si="16"/>
        <v>0.91637541790747523</v>
      </c>
      <c r="L52" s="159">
        <f>+'EJ. DESAGREGADA'!AB33</f>
        <v>34061.549999999988</v>
      </c>
      <c r="M52" s="159">
        <f>+'EJ. DESAGREGADA'!W33</f>
        <v>0</v>
      </c>
      <c r="N52" s="159">
        <f>+'EJ. DESAGREGADA'!Y33</f>
        <v>45242.86</v>
      </c>
      <c r="O52" s="168">
        <f t="shared" si="17"/>
        <v>0.11107583947796282</v>
      </c>
      <c r="P52" s="159">
        <f>+'EJ. DESAGREGADA'!AA33</f>
        <v>45242.86</v>
      </c>
      <c r="Q52" s="169"/>
      <c r="AW52" s="131"/>
    </row>
    <row r="53" spans="1:49" ht="21.6" x14ac:dyDescent="0.3">
      <c r="A53" s="274">
        <v>2</v>
      </c>
      <c r="B53" s="275">
        <v>2</v>
      </c>
      <c r="C53" s="275">
        <v>1</v>
      </c>
      <c r="D53" s="149">
        <v>3</v>
      </c>
      <c r="E53" s="149">
        <v>5</v>
      </c>
      <c r="F53" s="143"/>
      <c r="G53" s="143"/>
      <c r="H53" s="167" t="s">
        <v>86</v>
      </c>
      <c r="I53" s="159">
        <f>+'EJ. DESAGREGADA'!T34</f>
        <v>7544415.1399999997</v>
      </c>
      <c r="J53" s="159">
        <f>+'EJ. DESAGREGADA'!X34</f>
        <v>6168922.79</v>
      </c>
      <c r="K53" s="381">
        <f t="shared" si="16"/>
        <v>0.81768071819017107</v>
      </c>
      <c r="L53" s="159">
        <f>+'EJ. DESAGREGADA'!AB34</f>
        <v>1375492.3499999996</v>
      </c>
      <c r="M53" s="159">
        <f>+'EJ. DESAGREGADA'!W34</f>
        <v>0</v>
      </c>
      <c r="N53" s="159">
        <f>+'EJ. DESAGREGADA'!Y34</f>
        <v>2069312.45</v>
      </c>
      <c r="O53" s="168">
        <f t="shared" si="17"/>
        <v>0.27428401162982663</v>
      </c>
      <c r="P53" s="159">
        <f>+'EJ. DESAGREGADA'!AA34</f>
        <v>2069312.45</v>
      </c>
      <c r="Q53" s="169">
        <f t="shared" si="18"/>
        <v>0.27428401162982663</v>
      </c>
    </row>
    <row r="54" spans="1:49" x14ac:dyDescent="0.3">
      <c r="A54" s="281">
        <v>2</v>
      </c>
      <c r="B54" s="282">
        <v>2</v>
      </c>
      <c r="C54" s="282">
        <v>1</v>
      </c>
      <c r="D54" s="175">
        <v>3</v>
      </c>
      <c r="E54" s="175">
        <v>6</v>
      </c>
      <c r="F54" s="143"/>
      <c r="G54" s="143"/>
      <c r="H54" s="167" t="s">
        <v>87</v>
      </c>
      <c r="I54" s="159">
        <f>+'EJ. DESAGREGADA'!T35</f>
        <v>7386532</v>
      </c>
      <c r="J54" s="159">
        <f>+'EJ. DESAGREGADA'!X35</f>
        <v>2291227.4</v>
      </c>
      <c r="K54" s="381">
        <f t="shared" si="16"/>
        <v>0.31018986988751962</v>
      </c>
      <c r="L54" s="159">
        <f>+'EJ. DESAGREGADA'!AB35-0.5</f>
        <v>5095304.0999999996</v>
      </c>
      <c r="M54" s="159">
        <f>+'EJ. DESAGREGADA'!W35+0.5</f>
        <v>0.5</v>
      </c>
      <c r="N54" s="159">
        <f>+'EJ. DESAGREGADA'!Y35</f>
        <v>673257.12</v>
      </c>
      <c r="O54" s="168">
        <f t="shared" si="17"/>
        <v>9.1146578665062303E-2</v>
      </c>
      <c r="P54" s="159">
        <f>+'EJ. DESAGREGADA'!AA35</f>
        <v>673257.12</v>
      </c>
      <c r="Q54" s="169">
        <f t="shared" si="18"/>
        <v>9.1146578665062303E-2</v>
      </c>
    </row>
    <row r="55" spans="1:49" x14ac:dyDescent="0.3">
      <c r="A55" s="274">
        <v>2</v>
      </c>
      <c r="B55" s="275">
        <v>2</v>
      </c>
      <c r="C55" s="275">
        <v>1</v>
      </c>
      <c r="D55" s="149">
        <v>3</v>
      </c>
      <c r="E55" s="149">
        <v>8</v>
      </c>
      <c r="F55" s="143"/>
      <c r="G55" s="143"/>
      <c r="H55" s="167" t="s">
        <v>88</v>
      </c>
      <c r="I55" s="159">
        <f>+'EJ. DESAGREGADA'!T36</f>
        <v>400995.89</v>
      </c>
      <c r="J55" s="159">
        <f>+'EJ. DESAGREGADA'!X36</f>
        <v>267245.89</v>
      </c>
      <c r="K55" s="381">
        <f t="shared" si="16"/>
        <v>0.66645543424397691</v>
      </c>
      <c r="L55" s="159">
        <f>+'EJ. DESAGREGADA'!AB36</f>
        <v>133750</v>
      </c>
      <c r="M55" s="159">
        <f>+'EJ. DESAGREGADA'!W36</f>
        <v>0</v>
      </c>
      <c r="N55" s="159">
        <f>+'EJ. DESAGREGADA'!Y36</f>
        <v>80233.75</v>
      </c>
      <c r="O55" s="168">
        <f t="shared" si="17"/>
        <v>0.20008621534749396</v>
      </c>
      <c r="P55" s="159">
        <f>+'EJ. DESAGREGADA'!AA36</f>
        <v>80233.75</v>
      </c>
      <c r="Q55" s="169">
        <f t="shared" si="18"/>
        <v>0.20008621534749396</v>
      </c>
    </row>
    <row r="56" spans="1:49" s="130" customFormat="1" x14ac:dyDescent="0.3">
      <c r="A56" s="279">
        <v>2</v>
      </c>
      <c r="B56" s="280">
        <v>2</v>
      </c>
      <c r="C56" s="280">
        <v>1</v>
      </c>
      <c r="D56" s="174">
        <v>4</v>
      </c>
      <c r="E56" s="143"/>
      <c r="F56" s="143"/>
      <c r="G56" s="143"/>
      <c r="H56" s="164" t="s">
        <v>89</v>
      </c>
      <c r="I56" s="289">
        <f>+I57+I58+I59+I60</f>
        <v>2218878387</v>
      </c>
      <c r="J56" s="289">
        <f>+J57+J58+J59+J60</f>
        <v>65433380</v>
      </c>
      <c r="K56" s="382">
        <f t="shared" si="16"/>
        <v>2.9489394454135984E-2</v>
      </c>
      <c r="L56" s="289">
        <f>+L57+L58+L59+L60</f>
        <v>75311197</v>
      </c>
      <c r="M56" s="289">
        <f>+M57+M58+M59+M60</f>
        <v>2078133810</v>
      </c>
      <c r="N56" s="173">
        <f>+N57+N58+N59+N60</f>
        <v>65016880</v>
      </c>
      <c r="O56" s="165">
        <f t="shared" si="17"/>
        <v>2.9301687005886368E-2</v>
      </c>
      <c r="P56" s="173">
        <f>+P57+P58+P59+P60</f>
        <v>65016880</v>
      </c>
      <c r="Q56" s="166">
        <f>+P56/I56</f>
        <v>2.9301687005886368E-2</v>
      </c>
      <c r="AW56" s="131"/>
    </row>
    <row r="57" spans="1:49" x14ac:dyDescent="0.3">
      <c r="A57" s="274">
        <v>2</v>
      </c>
      <c r="B57" s="275">
        <v>2</v>
      </c>
      <c r="C57" s="275">
        <v>1</v>
      </c>
      <c r="D57" s="149">
        <v>4</v>
      </c>
      <c r="E57" s="149">
        <v>2</v>
      </c>
      <c r="F57" s="143"/>
      <c r="G57" s="143"/>
      <c r="H57" s="167" t="s">
        <v>90</v>
      </c>
      <c r="I57" s="159">
        <f>+'EJ. DESAGREGADA'!T37</f>
        <v>113724</v>
      </c>
      <c r="J57" s="159">
        <f>+'EJ. DESAGREGADA'!X37</f>
        <v>0</v>
      </c>
      <c r="K57" s="381">
        <f t="shared" ref="K57:K60" si="22">+J57/I57</f>
        <v>0</v>
      </c>
      <c r="L57" s="159">
        <f>+'EJ. DESAGREGADA'!AB37</f>
        <v>18677</v>
      </c>
      <c r="M57" s="159">
        <f>+'EJ. DESAGREGADA'!W37</f>
        <v>95047</v>
      </c>
      <c r="N57" s="159">
        <f>+'EJ. DESAGREGADA'!Y37</f>
        <v>0</v>
      </c>
      <c r="O57" s="168">
        <f t="shared" ref="O57:O60" si="23">+N57/I57</f>
        <v>0</v>
      </c>
      <c r="P57" s="159">
        <f>+'EJ. DESAGREGADA'!AA37</f>
        <v>0</v>
      </c>
      <c r="Q57" s="169">
        <f t="shared" ref="Q57:Q60" si="24">+P57/I57</f>
        <v>0</v>
      </c>
    </row>
    <row r="58" spans="1:49" x14ac:dyDescent="0.3">
      <c r="A58" s="274">
        <v>2</v>
      </c>
      <c r="B58" s="275">
        <v>2</v>
      </c>
      <c r="C58" s="275">
        <v>1</v>
      </c>
      <c r="D58" s="149">
        <v>4</v>
      </c>
      <c r="E58" s="149">
        <v>6</v>
      </c>
      <c r="F58" s="143"/>
      <c r="G58" s="143"/>
      <c r="H58" s="167" t="s">
        <v>91</v>
      </c>
      <c r="I58" s="159">
        <f>+'EJ. DESAGREGADA'!T38</f>
        <v>274805</v>
      </c>
      <c r="J58" s="159">
        <f>+'EJ. DESAGREGADA'!X38</f>
        <v>0</v>
      </c>
      <c r="K58" s="381">
        <f t="shared" si="22"/>
        <v>0</v>
      </c>
      <c r="L58" s="159">
        <f>+'EJ. DESAGREGADA'!AB38</f>
        <v>274805</v>
      </c>
      <c r="M58" s="159">
        <f>+'EJ. DESAGREGADA'!W38</f>
        <v>0</v>
      </c>
      <c r="N58" s="159">
        <f>+'EJ. DESAGREGADA'!Y38</f>
        <v>0</v>
      </c>
      <c r="O58" s="168">
        <f t="shared" si="23"/>
        <v>0</v>
      </c>
      <c r="P58" s="159">
        <f>+'EJ. DESAGREGADA'!AA38</f>
        <v>0</v>
      </c>
      <c r="Q58" s="169">
        <f t="shared" si="24"/>
        <v>0</v>
      </c>
    </row>
    <row r="59" spans="1:49" ht="11.25" customHeight="1" x14ac:dyDescent="0.3">
      <c r="A59" s="274">
        <v>2</v>
      </c>
      <c r="B59" s="275">
        <v>2</v>
      </c>
      <c r="C59" s="275">
        <v>1</v>
      </c>
      <c r="D59" s="149">
        <v>4</v>
      </c>
      <c r="E59" s="149">
        <v>7</v>
      </c>
      <c r="F59" s="143"/>
      <c r="G59" s="143"/>
      <c r="H59" s="167" t="s">
        <v>92</v>
      </c>
      <c r="I59" s="159">
        <f>+'EJ. DESAGREGADA'!T39</f>
        <v>2218003658</v>
      </c>
      <c r="J59" s="159">
        <f>+'EJ. DESAGREGADA'!X39</f>
        <v>65433380</v>
      </c>
      <c r="K59" s="381">
        <f t="shared" si="22"/>
        <v>2.950102438469468E-2</v>
      </c>
      <c r="L59" s="159">
        <f>+'EJ. DESAGREGADA'!AB39</f>
        <v>74531515</v>
      </c>
      <c r="M59" s="159">
        <f>+'EJ. DESAGREGADA'!W39</f>
        <v>2078038763</v>
      </c>
      <c r="N59" s="159">
        <f>+'EJ. DESAGREGADA'!Y39</f>
        <v>65016880</v>
      </c>
      <c r="O59" s="168">
        <f t="shared" si="23"/>
        <v>2.9313242908997943E-2</v>
      </c>
      <c r="P59" s="159">
        <f>+'EJ. DESAGREGADA'!AA39</f>
        <v>65016880</v>
      </c>
      <c r="Q59" s="169">
        <f t="shared" si="24"/>
        <v>2.9313242908997943E-2</v>
      </c>
    </row>
    <row r="60" spans="1:49" x14ac:dyDescent="0.3">
      <c r="A60" s="281">
        <v>2</v>
      </c>
      <c r="B60" s="282">
        <v>2</v>
      </c>
      <c r="C60" s="282">
        <v>1</v>
      </c>
      <c r="D60" s="175">
        <v>4</v>
      </c>
      <c r="E60" s="175">
        <v>8</v>
      </c>
      <c r="F60" s="143"/>
      <c r="G60" s="143"/>
      <c r="H60" s="167" t="s">
        <v>93</v>
      </c>
      <c r="I60" s="159">
        <f>+'EJ. DESAGREGADA'!T40</f>
        <v>486200</v>
      </c>
      <c r="J60" s="159">
        <f>+'EJ. DESAGREGADA'!X40</f>
        <v>0</v>
      </c>
      <c r="K60" s="381">
        <f t="shared" si="22"/>
        <v>0</v>
      </c>
      <c r="L60" s="159">
        <f>+'EJ. DESAGREGADA'!AB40</f>
        <v>486200</v>
      </c>
      <c r="M60" s="159">
        <f>+'EJ. DESAGREGADA'!W40</f>
        <v>0</v>
      </c>
      <c r="N60" s="159">
        <f>+'EJ. DESAGREGADA'!Y40</f>
        <v>0</v>
      </c>
      <c r="O60" s="168">
        <f t="shared" si="23"/>
        <v>0</v>
      </c>
      <c r="P60" s="159">
        <f>+'EJ. DESAGREGADA'!AA40</f>
        <v>0</v>
      </c>
      <c r="Q60" s="169">
        <f t="shared" si="24"/>
        <v>0</v>
      </c>
    </row>
    <row r="61" spans="1:49" s="130" customFormat="1" ht="32.4" x14ac:dyDescent="0.3">
      <c r="A61" s="279">
        <v>2</v>
      </c>
      <c r="B61" s="280">
        <v>2</v>
      </c>
      <c r="C61" s="280">
        <v>2</v>
      </c>
      <c r="D61" s="174">
        <v>6</v>
      </c>
      <c r="E61" s="143"/>
      <c r="F61" s="280"/>
      <c r="G61" s="280"/>
      <c r="H61" s="164" t="s">
        <v>94</v>
      </c>
      <c r="I61" s="289">
        <f>+I62+I63+I64+I65</f>
        <v>1163888313.21</v>
      </c>
      <c r="J61" s="289">
        <f>+J62+J63+J64+J65</f>
        <v>941377800.56999993</v>
      </c>
      <c r="K61" s="382">
        <f>+J61/I61</f>
        <v>0.80882142202603891</v>
      </c>
      <c r="L61" s="289">
        <f>+L62+L63+L64+L65</f>
        <v>202999969.15000004</v>
      </c>
      <c r="M61" s="289">
        <f>+M62+M63+M64+M65</f>
        <v>19510543.490000002</v>
      </c>
      <c r="N61" s="173">
        <f>+N62+N63+N64+N65</f>
        <v>640179405.68000007</v>
      </c>
      <c r="O61" s="165">
        <f>+N61/I61</f>
        <v>0.55003508361930997</v>
      </c>
      <c r="P61" s="173">
        <f>+P62+P63+P64+P65</f>
        <v>640179405.68000007</v>
      </c>
      <c r="Q61" s="166">
        <f>+P61/I61</f>
        <v>0.55003508361930997</v>
      </c>
      <c r="AW61" s="131"/>
    </row>
    <row r="62" spans="1:49" x14ac:dyDescent="0.3">
      <c r="A62" s="274">
        <v>2</v>
      </c>
      <c r="B62" s="275">
        <v>2</v>
      </c>
      <c r="C62" s="275">
        <v>2</v>
      </c>
      <c r="D62" s="149">
        <v>6</v>
      </c>
      <c r="E62" s="149">
        <v>3</v>
      </c>
      <c r="F62" s="275"/>
      <c r="G62" s="275"/>
      <c r="H62" s="167" t="s">
        <v>95</v>
      </c>
      <c r="I62" s="159">
        <f>+'EJ. DESAGREGADA'!T41</f>
        <v>29400614.210000001</v>
      </c>
      <c r="J62" s="159">
        <f>+'EJ. DESAGREGADA'!X41</f>
        <v>27427515.66</v>
      </c>
      <c r="K62" s="381">
        <f t="shared" ref="K62:K64" si="25">+J62/I62</f>
        <v>0.9328892064666835</v>
      </c>
      <c r="L62" s="159">
        <f>+'EJ. DESAGREGADA'!AB41</f>
        <v>1973098.5500000007</v>
      </c>
      <c r="M62" s="159">
        <f>+'EJ. DESAGREGADA'!W41</f>
        <v>0</v>
      </c>
      <c r="N62" s="159">
        <f>+'EJ. DESAGREGADA'!Y41</f>
        <v>11198688.550000001</v>
      </c>
      <c r="O62" s="168">
        <f t="shared" ref="O62:O65" si="26">+N62/I62</f>
        <v>0.3808998162423084</v>
      </c>
      <c r="P62" s="159">
        <f>+'EJ. DESAGREGADA'!AA41</f>
        <v>11198688.550000001</v>
      </c>
      <c r="Q62" s="169">
        <f t="shared" ref="Q62:Q65" si="27">+P62/I62</f>
        <v>0.3808998162423084</v>
      </c>
    </row>
    <row r="63" spans="1:49" x14ac:dyDescent="0.3">
      <c r="A63" s="281">
        <v>2</v>
      </c>
      <c r="B63" s="282">
        <v>2</v>
      </c>
      <c r="C63" s="282">
        <v>2</v>
      </c>
      <c r="D63" s="175">
        <v>6</v>
      </c>
      <c r="E63" s="175">
        <v>4</v>
      </c>
      <c r="F63" s="282"/>
      <c r="G63" s="282"/>
      <c r="H63" s="167" t="s">
        <v>96</v>
      </c>
      <c r="I63" s="159">
        <f>+'EJ. DESAGREGADA'!T42</f>
        <v>886411685</v>
      </c>
      <c r="J63" s="159">
        <f>+'EJ. DESAGREGADA'!X42</f>
        <v>743577433.90999997</v>
      </c>
      <c r="K63" s="381">
        <f t="shared" si="25"/>
        <v>0.83886240049960525</v>
      </c>
      <c r="L63" s="159">
        <f>+'EJ. DESAGREGADA'!AB42</f>
        <v>130323707.60000002</v>
      </c>
      <c r="M63" s="159">
        <f>+'EJ. DESAGREGADA'!W42</f>
        <v>12510543.49</v>
      </c>
      <c r="N63" s="159">
        <f>+'EJ. DESAGREGADA'!Y42</f>
        <v>482732617.13</v>
      </c>
      <c r="O63" s="168">
        <f t="shared" si="26"/>
        <v>0.54459189256964724</v>
      </c>
      <c r="P63" s="159">
        <f>+'EJ. DESAGREGADA'!AA42</f>
        <v>482732617.13</v>
      </c>
      <c r="Q63" s="169">
        <f t="shared" si="27"/>
        <v>0.54459189256964724</v>
      </c>
    </row>
    <row r="64" spans="1:49" x14ac:dyDescent="0.3">
      <c r="A64" s="274">
        <v>2</v>
      </c>
      <c r="B64" s="275">
        <v>2</v>
      </c>
      <c r="C64" s="275">
        <v>2</v>
      </c>
      <c r="D64" s="149">
        <v>6</v>
      </c>
      <c r="E64" s="149">
        <v>8</v>
      </c>
      <c r="F64" s="275"/>
      <c r="G64" s="275"/>
      <c r="H64" s="167" t="s">
        <v>97</v>
      </c>
      <c r="I64" s="159">
        <f>+'EJ. DESAGREGADA'!T43</f>
        <v>89810820</v>
      </c>
      <c r="J64" s="159">
        <f>+'EJ. DESAGREGADA'!X43</f>
        <v>75551501</v>
      </c>
      <c r="K64" s="381">
        <f t="shared" si="25"/>
        <v>0.84122938639241907</v>
      </c>
      <c r="L64" s="159">
        <f>+'EJ. DESAGREGADA'!AB43</f>
        <v>7259319</v>
      </c>
      <c r="M64" s="159">
        <f>+'EJ. DESAGREGADA'!W43</f>
        <v>7000000</v>
      </c>
      <c r="N64" s="159">
        <f>+'EJ. DESAGREGADA'!Y43</f>
        <v>51426750</v>
      </c>
      <c r="O64" s="168">
        <f t="shared" si="26"/>
        <v>0.57261196368099077</v>
      </c>
      <c r="P64" s="159">
        <f>+'EJ. DESAGREGADA'!AA43</f>
        <v>51426750</v>
      </c>
      <c r="Q64" s="169">
        <f t="shared" si="27"/>
        <v>0.57261196368099077</v>
      </c>
    </row>
    <row r="65" spans="1:49" x14ac:dyDescent="0.3">
      <c r="A65" s="274">
        <v>2</v>
      </c>
      <c r="B65" s="275">
        <v>2</v>
      </c>
      <c r="C65" s="275">
        <v>2</v>
      </c>
      <c r="D65" s="149">
        <v>6</v>
      </c>
      <c r="E65" s="149">
        <v>9</v>
      </c>
      <c r="F65" s="143"/>
      <c r="G65" s="143"/>
      <c r="H65" s="167" t="s">
        <v>98</v>
      </c>
      <c r="I65" s="159">
        <f>+'EJ. DESAGREGADA'!T44</f>
        <v>158265194</v>
      </c>
      <c r="J65" s="159">
        <f>+'EJ. DESAGREGADA'!X44</f>
        <v>94821350</v>
      </c>
      <c r="K65" s="381">
        <f>+J65/I65</f>
        <v>0.59912952180755552</v>
      </c>
      <c r="L65" s="159">
        <f>+'EJ. DESAGREGADA'!AB44</f>
        <v>63443844</v>
      </c>
      <c r="M65" s="159">
        <f>+'EJ. DESAGREGADA'!W44</f>
        <v>0</v>
      </c>
      <c r="N65" s="159">
        <f>+'EJ. DESAGREGADA'!Y44</f>
        <v>94821350</v>
      </c>
      <c r="O65" s="168">
        <f t="shared" si="26"/>
        <v>0.59912952180755552</v>
      </c>
      <c r="P65" s="159">
        <f>+'EJ. DESAGREGADA'!AA44</f>
        <v>94821350</v>
      </c>
      <c r="Q65" s="169">
        <f t="shared" si="27"/>
        <v>0.59912952180755552</v>
      </c>
    </row>
    <row r="66" spans="1:49" s="130" customFormat="1" ht="21.6" x14ac:dyDescent="0.3">
      <c r="A66" s="279">
        <v>2</v>
      </c>
      <c r="B66" s="280">
        <v>2</v>
      </c>
      <c r="C66" s="280">
        <v>2</v>
      </c>
      <c r="D66" s="174">
        <v>7</v>
      </c>
      <c r="E66" s="143"/>
      <c r="F66" s="280"/>
      <c r="G66" s="143"/>
      <c r="H66" s="164" t="s">
        <v>99</v>
      </c>
      <c r="I66" s="173">
        <f t="shared" ref="I66:P66" si="28">+I67+I68+I69</f>
        <v>3411526265</v>
      </c>
      <c r="J66" s="173">
        <f t="shared" si="28"/>
        <v>2764172630.8400002</v>
      </c>
      <c r="K66" s="382">
        <f t="shared" si="1"/>
        <v>0.81024515601670155</v>
      </c>
      <c r="L66" s="173">
        <f>+L67+L68+L69</f>
        <v>522957504</v>
      </c>
      <c r="M66" s="173">
        <f t="shared" si="28"/>
        <v>124396130.16</v>
      </c>
      <c r="N66" s="173">
        <f>+N67+N68+N69</f>
        <v>2002525879.6500001</v>
      </c>
      <c r="O66" s="165">
        <f t="shared" si="3"/>
        <v>0.58698826393177428</v>
      </c>
      <c r="P66" s="173">
        <f t="shared" si="28"/>
        <v>2002525879.6500001</v>
      </c>
      <c r="Q66" s="166">
        <f t="shared" si="4"/>
        <v>0.58698826393177428</v>
      </c>
      <c r="AW66" s="131"/>
    </row>
    <row r="67" spans="1:49" x14ac:dyDescent="0.3">
      <c r="A67" s="274">
        <v>2</v>
      </c>
      <c r="B67" s="275">
        <v>2</v>
      </c>
      <c r="C67" s="275">
        <v>2</v>
      </c>
      <c r="D67" s="149">
        <v>7</v>
      </c>
      <c r="E67" s="149">
        <v>1</v>
      </c>
      <c r="F67" s="143"/>
      <c r="G67" s="143"/>
      <c r="H67" s="167" t="s">
        <v>100</v>
      </c>
      <c r="I67" s="159">
        <f>+'EJ. DESAGREGADA'!T45</f>
        <v>250640943</v>
      </c>
      <c r="J67" s="159">
        <f>+'EJ. DESAGREGADA'!X45</f>
        <v>5000000</v>
      </c>
      <c r="K67" s="381">
        <f t="shared" si="1"/>
        <v>1.9948855682369499E-2</v>
      </c>
      <c r="L67" s="159">
        <f>+'EJ. DESAGREGADA'!AB45</f>
        <v>121244813</v>
      </c>
      <c r="M67" s="159">
        <f>'EJ. DESAGREGADA'!W45</f>
        <v>124396130</v>
      </c>
      <c r="N67" s="159">
        <f>+'EJ. DESAGREGADA'!Y45</f>
        <v>134982</v>
      </c>
      <c r="O67" s="168">
        <f t="shared" si="3"/>
        <v>5.3854728754351992E-4</v>
      </c>
      <c r="P67" s="159">
        <f>+'EJ. DESAGREGADA'!AA45</f>
        <v>134982</v>
      </c>
      <c r="Q67" s="169">
        <f t="shared" si="4"/>
        <v>5.3854728754351992E-4</v>
      </c>
    </row>
    <row r="68" spans="1:49" x14ac:dyDescent="0.3">
      <c r="A68" s="274">
        <v>2</v>
      </c>
      <c r="B68" s="275">
        <v>2</v>
      </c>
      <c r="C68" s="275">
        <v>2</v>
      </c>
      <c r="D68" s="149">
        <v>7</v>
      </c>
      <c r="E68" s="149">
        <v>2</v>
      </c>
      <c r="F68" s="143"/>
      <c r="G68" s="143"/>
      <c r="H68" s="167" t="s">
        <v>101</v>
      </c>
      <c r="I68" s="159">
        <f>+'EJ. DESAGREGADA'!T46</f>
        <v>3041847026</v>
      </c>
      <c r="J68" s="159">
        <f>+'EJ. DESAGREGADA'!X46</f>
        <v>2659947026</v>
      </c>
      <c r="K68" s="381">
        <f t="shared" si="1"/>
        <v>0.87445128018084628</v>
      </c>
      <c r="L68" s="159">
        <f>+'EJ. DESAGREGADA'!AB46-M68</f>
        <v>381900000</v>
      </c>
      <c r="M68" s="159">
        <v>0</v>
      </c>
      <c r="N68" s="159">
        <f>+'EJ. DESAGREGADA'!Y46</f>
        <v>1934506928</v>
      </c>
      <c r="O68" s="168">
        <f t="shared" si="3"/>
        <v>0.63596456740425189</v>
      </c>
      <c r="P68" s="159">
        <f>+'EJ. DESAGREGADA'!AA46</f>
        <v>1934506928</v>
      </c>
      <c r="Q68" s="169">
        <f t="shared" si="4"/>
        <v>0.63596456740425189</v>
      </c>
    </row>
    <row r="69" spans="1:49" x14ac:dyDescent="0.3">
      <c r="A69" s="281">
        <v>2</v>
      </c>
      <c r="B69" s="282">
        <v>2</v>
      </c>
      <c r="C69" s="282">
        <v>2</v>
      </c>
      <c r="D69" s="175">
        <v>7</v>
      </c>
      <c r="E69" s="175">
        <v>3</v>
      </c>
      <c r="F69" s="143"/>
      <c r="G69" s="143"/>
      <c r="H69" s="167" t="s">
        <v>102</v>
      </c>
      <c r="I69" s="159">
        <f>+'EJ. DESAGREGADA'!T47</f>
        <v>119038296</v>
      </c>
      <c r="J69" s="159">
        <f>+'EJ. DESAGREGADA'!X47</f>
        <v>99225604.840000004</v>
      </c>
      <c r="K69" s="381">
        <f t="shared" si="1"/>
        <v>0.83356035976859078</v>
      </c>
      <c r="L69" s="159">
        <f>+'EJ. DESAGREGADA'!AB47-0.16</f>
        <v>19812690.999999996</v>
      </c>
      <c r="M69" s="159">
        <v>0.16</v>
      </c>
      <c r="N69" s="159">
        <f>+'EJ. DESAGREGADA'!Y47</f>
        <v>67883969.650000006</v>
      </c>
      <c r="O69" s="168">
        <f t="shared" si="3"/>
        <v>0.57027000495706026</v>
      </c>
      <c r="P69" s="159">
        <f>+'EJ. DESAGREGADA'!AA47</f>
        <v>67883969.650000006</v>
      </c>
      <c r="Q69" s="169">
        <f t="shared" si="4"/>
        <v>0.57027000495706026</v>
      </c>
      <c r="R69" s="118" t="s">
        <v>2</v>
      </c>
    </row>
    <row r="70" spans="1:49" s="130" customFormat="1" x14ac:dyDescent="0.3">
      <c r="A70" s="279">
        <v>2</v>
      </c>
      <c r="B70" s="280">
        <v>2</v>
      </c>
      <c r="C70" s="280">
        <v>2</v>
      </c>
      <c r="D70" s="174">
        <v>8</v>
      </c>
      <c r="E70" s="143"/>
      <c r="F70" s="280"/>
      <c r="G70" s="143"/>
      <c r="H70" s="164" t="s">
        <v>103</v>
      </c>
      <c r="I70" s="173">
        <f t="shared" ref="I70:P70" si="29">+I71+I72+I73+I74+I75+I76</f>
        <v>16272741714.030001</v>
      </c>
      <c r="J70" s="173">
        <f t="shared" si="29"/>
        <v>12078050748.49</v>
      </c>
      <c r="K70" s="382">
        <f t="shared" si="1"/>
        <v>0.74222592361781115</v>
      </c>
      <c r="L70" s="173">
        <f>+L71+L72+L73+L74+L75+L76</f>
        <v>1738672091.6799998</v>
      </c>
      <c r="M70" s="173">
        <f>+M71+M72+M73+M74+M75+M76</f>
        <v>2456018873.8599997</v>
      </c>
      <c r="N70" s="173">
        <f>+N71+N72+N73+N74+N75+N76</f>
        <v>7373492637.9499998</v>
      </c>
      <c r="O70" s="165">
        <f t="shared" si="3"/>
        <v>0.45311925719270379</v>
      </c>
      <c r="P70" s="173">
        <f t="shared" si="29"/>
        <v>7373481213.9499998</v>
      </c>
      <c r="Q70" s="166">
        <f t="shared" si="4"/>
        <v>0.45311855515980731</v>
      </c>
      <c r="R70" s="417" t="s">
        <v>2</v>
      </c>
      <c r="AW70" s="131"/>
    </row>
    <row r="71" spans="1:49" x14ac:dyDescent="0.3">
      <c r="A71" s="281">
        <v>2</v>
      </c>
      <c r="B71" s="282">
        <v>2</v>
      </c>
      <c r="C71" s="282">
        <v>2</v>
      </c>
      <c r="D71" s="175">
        <v>8</v>
      </c>
      <c r="E71" s="175">
        <v>2</v>
      </c>
      <c r="F71" s="282"/>
      <c r="G71" s="403"/>
      <c r="H71" s="167" t="s">
        <v>104</v>
      </c>
      <c r="I71" s="159">
        <f>+'EJ. DESAGREGADA'!T48</f>
        <v>7652672757</v>
      </c>
      <c r="J71" s="159">
        <f>+'EJ. DESAGREGADA'!X48</f>
        <v>5916481925.6000004</v>
      </c>
      <c r="K71" s="381">
        <f t="shared" si="1"/>
        <v>0.77312621530668701</v>
      </c>
      <c r="L71" s="159">
        <f>+'EJ. DESAGREGADA'!AB48-1985946.27</f>
        <v>798184058.86999941</v>
      </c>
      <c r="M71" s="159">
        <f>'EJ. DESAGREGADA'!W48+1985946.27</f>
        <v>938006772.52999997</v>
      </c>
      <c r="N71" s="159">
        <f>+'EJ. DESAGREGADA'!Y48</f>
        <v>4330048591.46</v>
      </c>
      <c r="O71" s="168">
        <f t="shared" si="3"/>
        <v>0.5658217369218157</v>
      </c>
      <c r="P71" s="159">
        <f>+'EJ. DESAGREGADA'!AA48</f>
        <v>4330037167.46</v>
      </c>
      <c r="Q71" s="169">
        <f t="shared" si="4"/>
        <v>0.56582024411004095</v>
      </c>
      <c r="R71" s="118" t="s">
        <v>2</v>
      </c>
    </row>
    <row r="72" spans="1:49" s="413" customFormat="1" ht="21.6" x14ac:dyDescent="0.3">
      <c r="A72" s="404">
        <v>2</v>
      </c>
      <c r="B72" s="405">
        <v>2</v>
      </c>
      <c r="C72" s="405">
        <v>2</v>
      </c>
      <c r="D72" s="406">
        <v>8</v>
      </c>
      <c r="E72" s="406">
        <v>3</v>
      </c>
      <c r="F72" s="405"/>
      <c r="G72" s="415"/>
      <c r="H72" s="408" t="s">
        <v>105</v>
      </c>
      <c r="I72" s="409">
        <f>+'EJ. DESAGREGADA'!T49</f>
        <v>4681655736</v>
      </c>
      <c r="J72" s="409">
        <f>+'EJ. DESAGREGADA'!X49</f>
        <v>3472082677.9899998</v>
      </c>
      <c r="K72" s="410">
        <f t="shared" si="1"/>
        <v>0.74163562503990144</v>
      </c>
      <c r="L72" s="409">
        <f>+'EJ. DESAGREGADA'!AB49-10871059.68</f>
        <v>843879082.00000036</v>
      </c>
      <c r="M72" s="409">
        <f>'EJ. DESAGREGADA'!W49+10871059.68</f>
        <v>365693976.00999999</v>
      </c>
      <c r="N72" s="409">
        <f>+'EJ. DESAGREGADA'!Y49</f>
        <v>1991288820.8399999</v>
      </c>
      <c r="O72" s="411">
        <f t="shared" si="3"/>
        <v>0.4253385838535309</v>
      </c>
      <c r="P72" s="409">
        <f>+'EJ. DESAGREGADA'!AA49</f>
        <v>1991288820.8399999</v>
      </c>
      <c r="Q72" s="412">
        <f t="shared" si="4"/>
        <v>0.4253385838535309</v>
      </c>
      <c r="R72" s="413" t="s">
        <v>2</v>
      </c>
      <c r="AW72" s="414"/>
    </row>
    <row r="73" spans="1:49" s="413" customFormat="1" x14ac:dyDescent="0.3">
      <c r="A73" s="404">
        <v>2</v>
      </c>
      <c r="B73" s="405">
        <v>2</v>
      </c>
      <c r="C73" s="405">
        <v>2</v>
      </c>
      <c r="D73" s="406">
        <v>8</v>
      </c>
      <c r="E73" s="406">
        <v>4</v>
      </c>
      <c r="F73" s="407"/>
      <c r="G73" s="407"/>
      <c r="H73" s="408" t="s">
        <v>106</v>
      </c>
      <c r="I73" s="409">
        <f>+'EJ. DESAGREGADA'!T50</f>
        <v>646281256</v>
      </c>
      <c r="J73" s="409">
        <f>+'EJ. DESAGREGADA'!X50</f>
        <v>616580741.63999999</v>
      </c>
      <c r="K73" s="410">
        <f t="shared" si="1"/>
        <v>0.95404397994795009</v>
      </c>
      <c r="L73" s="409">
        <f>+'EJ. DESAGREGADA'!AB50-71158.01</f>
        <v>3401738.0400000717</v>
      </c>
      <c r="M73" s="409">
        <f>'EJ. DESAGREGADA'!W50+71158.01</f>
        <v>26298776.32</v>
      </c>
      <c r="N73" s="409">
        <f>+'EJ. DESAGREGADA'!Y50</f>
        <v>276425775.49000001</v>
      </c>
      <c r="O73" s="411">
        <f t="shared" si="3"/>
        <v>0.42771745725826837</v>
      </c>
      <c r="P73" s="409">
        <f>+'EJ. DESAGREGADA'!AA50</f>
        <v>276425775.49000001</v>
      </c>
      <c r="Q73" s="412">
        <f t="shared" si="4"/>
        <v>0.42771745725826837</v>
      </c>
      <c r="AW73" s="414"/>
    </row>
    <row r="74" spans="1:49" x14ac:dyDescent="0.3">
      <c r="A74" s="274">
        <v>2</v>
      </c>
      <c r="B74" s="275">
        <v>2</v>
      </c>
      <c r="C74" s="275">
        <v>2</v>
      </c>
      <c r="D74" s="149">
        <v>8</v>
      </c>
      <c r="E74" s="149">
        <v>5</v>
      </c>
      <c r="F74" s="143"/>
      <c r="G74" s="143"/>
      <c r="H74" s="167" t="s">
        <v>107</v>
      </c>
      <c r="I74" s="159">
        <f>+'EJ. DESAGREGADA'!T51</f>
        <v>3251074169.0300002</v>
      </c>
      <c r="J74" s="159">
        <f>+'EJ. DESAGREGADA'!X51</f>
        <v>2071052450.3399999</v>
      </c>
      <c r="K74" s="381">
        <f t="shared" si="1"/>
        <v>0.63703635865001662</v>
      </c>
      <c r="L74" s="159">
        <f>+'EJ. DESAGREGADA'!AB51</f>
        <v>54002369.690000057</v>
      </c>
      <c r="M74" s="409">
        <f>'EJ. DESAGREGADA'!W51</f>
        <v>1126019349</v>
      </c>
      <c r="N74" s="159">
        <f>+'EJ. DESAGREGADA'!Y51</f>
        <v>773876497.24000001</v>
      </c>
      <c r="O74" s="168">
        <f t="shared" si="3"/>
        <v>0.23803717079481335</v>
      </c>
      <c r="P74" s="159">
        <f>+'EJ. DESAGREGADA'!AA51</f>
        <v>773876497.24000001</v>
      </c>
      <c r="Q74" s="169">
        <f t="shared" si="4"/>
        <v>0.23803717079481335</v>
      </c>
    </row>
    <row r="75" spans="1:49" ht="21.6" x14ac:dyDescent="0.3">
      <c r="A75" s="274">
        <v>2</v>
      </c>
      <c r="B75" s="275">
        <v>2</v>
      </c>
      <c r="C75" s="275">
        <v>2</v>
      </c>
      <c r="D75" s="149">
        <v>8</v>
      </c>
      <c r="E75" s="149">
        <v>7</v>
      </c>
      <c r="F75" s="143"/>
      <c r="G75" s="143"/>
      <c r="H75" s="167" t="s">
        <v>108</v>
      </c>
      <c r="I75" s="159">
        <f>+'EJ. DESAGREGADA'!T52</f>
        <v>1473696</v>
      </c>
      <c r="J75" s="159">
        <f>+'EJ. DESAGREGADA'!X52</f>
        <v>0</v>
      </c>
      <c r="K75" s="381">
        <f t="shared" si="1"/>
        <v>0</v>
      </c>
      <c r="L75" s="159">
        <f>+'EJ. DESAGREGADA'!AB52</f>
        <v>1473696</v>
      </c>
      <c r="M75" s="159">
        <f>'EJ. DESAGREGADA'!W52</f>
        <v>0</v>
      </c>
      <c r="N75" s="159">
        <f>+'EJ. DESAGREGADA'!Y52</f>
        <v>0</v>
      </c>
      <c r="O75" s="168">
        <f t="shared" si="3"/>
        <v>0</v>
      </c>
      <c r="P75" s="159">
        <f>+'EJ. DESAGREGADA'!AA52</f>
        <v>0</v>
      </c>
      <c r="Q75" s="169">
        <f t="shared" si="4"/>
        <v>0</v>
      </c>
    </row>
    <row r="76" spans="1:49" ht="21.6" x14ac:dyDescent="0.3">
      <c r="A76" s="274">
        <v>2</v>
      </c>
      <c r="B76" s="275">
        <v>2</v>
      </c>
      <c r="C76" s="275">
        <v>2</v>
      </c>
      <c r="D76" s="149">
        <v>8</v>
      </c>
      <c r="E76" s="149">
        <v>9</v>
      </c>
      <c r="F76" s="143"/>
      <c r="G76" s="143"/>
      <c r="H76" s="167" t="s">
        <v>109</v>
      </c>
      <c r="I76" s="159">
        <f>+'EJ. DESAGREGADA'!T53</f>
        <v>39584100</v>
      </c>
      <c r="J76" s="159">
        <f>+'EJ. DESAGREGADA'!X53</f>
        <v>1852952.92</v>
      </c>
      <c r="K76" s="381">
        <f t="shared" si="1"/>
        <v>4.6810535543311584E-2</v>
      </c>
      <c r="L76" s="159">
        <f>+'EJ. DESAGREGADA'!AB53-M76</f>
        <v>37731147.079999998</v>
      </c>
      <c r="M76" s="159">
        <f>'EJ. DESAGREGADA'!W53</f>
        <v>0</v>
      </c>
      <c r="N76" s="159">
        <f>+'EJ. DESAGREGADA'!Y53</f>
        <v>1852952.92</v>
      </c>
      <c r="O76" s="168">
        <f t="shared" si="3"/>
        <v>4.6810535543311584E-2</v>
      </c>
      <c r="P76" s="159">
        <f>+'EJ. DESAGREGADA'!AA53</f>
        <v>1852952.92</v>
      </c>
      <c r="Q76" s="169">
        <f t="shared" si="4"/>
        <v>4.6810535543311584E-2</v>
      </c>
    </row>
    <row r="77" spans="1:49" s="130" customFormat="1" x14ac:dyDescent="0.3">
      <c r="A77" s="279">
        <v>2</v>
      </c>
      <c r="B77" s="280">
        <v>2</v>
      </c>
      <c r="C77" s="280">
        <v>2</v>
      </c>
      <c r="D77" s="174">
        <v>9</v>
      </c>
      <c r="E77" s="174"/>
      <c r="F77" s="143"/>
      <c r="G77" s="143"/>
      <c r="H77" s="164" t="s">
        <v>110</v>
      </c>
      <c r="I77" s="173">
        <f t="shared" ref="I77:P77" si="30">+I78+I79+I80+I81</f>
        <v>296877965</v>
      </c>
      <c r="J77" s="173">
        <f t="shared" si="30"/>
        <v>232929656</v>
      </c>
      <c r="K77" s="382">
        <f t="shared" si="1"/>
        <v>0.78459732099012469</v>
      </c>
      <c r="L77" s="173">
        <f>+L78+L79+L80+L81</f>
        <v>63948309</v>
      </c>
      <c r="M77" s="173">
        <f t="shared" si="30"/>
        <v>2078038763</v>
      </c>
      <c r="N77" s="173">
        <f>+N78+N79+N80+N81</f>
        <v>93266450.950000003</v>
      </c>
      <c r="O77" s="165">
        <f t="shared" si="3"/>
        <v>0.31415753927712353</v>
      </c>
      <c r="P77" s="173">
        <f t="shared" si="30"/>
        <v>93266450.950000003</v>
      </c>
      <c r="Q77" s="166">
        <f t="shared" si="4"/>
        <v>0.31415753927712353</v>
      </c>
      <c r="AW77" s="131"/>
    </row>
    <row r="78" spans="1:49" x14ac:dyDescent="0.3">
      <c r="A78" s="274">
        <v>2</v>
      </c>
      <c r="B78" s="275">
        <v>2</v>
      </c>
      <c r="C78" s="275">
        <v>2</v>
      </c>
      <c r="D78" s="149">
        <v>9</v>
      </c>
      <c r="E78" s="149">
        <v>2</v>
      </c>
      <c r="F78" s="143"/>
      <c r="G78" s="143"/>
      <c r="H78" s="167" t="s">
        <v>111</v>
      </c>
      <c r="I78" s="159">
        <f>+'EJ. DESAGREGADA'!T54</f>
        <v>101229470</v>
      </c>
      <c r="J78" s="159">
        <f>+'EJ. DESAGREGADA'!X54</f>
        <v>37848950</v>
      </c>
      <c r="K78" s="381">
        <f t="shared" si="1"/>
        <v>0.37389260261858526</v>
      </c>
      <c r="L78" s="159">
        <f>+'EJ. DESAGREGADA'!AB54</f>
        <v>63380520</v>
      </c>
      <c r="M78" s="159">
        <f>+'EJ. DESAGREGADA'!W39</f>
        <v>2078038763</v>
      </c>
      <c r="N78" s="159">
        <f>+'EJ. DESAGREGADA'!Y54</f>
        <v>26691051.949999999</v>
      </c>
      <c r="O78" s="168">
        <f t="shared" si="3"/>
        <v>0.26366879081753564</v>
      </c>
      <c r="P78" s="159">
        <f>+'EJ. DESAGREGADA'!AA54</f>
        <v>26691051.949999999</v>
      </c>
      <c r="Q78" s="169">
        <f t="shared" si="4"/>
        <v>0.26366879081753564</v>
      </c>
    </row>
    <row r="79" spans="1:49" x14ac:dyDescent="0.3">
      <c r="A79" s="274">
        <v>2</v>
      </c>
      <c r="B79" s="275">
        <v>2</v>
      </c>
      <c r="C79" s="275">
        <v>2</v>
      </c>
      <c r="D79" s="149">
        <v>9</v>
      </c>
      <c r="E79" s="149">
        <v>3</v>
      </c>
      <c r="F79" s="143"/>
      <c r="G79" s="143"/>
      <c r="H79" s="167" t="s">
        <v>112</v>
      </c>
      <c r="I79" s="159">
        <f>+'EJ. DESAGREGADA'!T55</f>
        <v>13591056</v>
      </c>
      <c r="J79" s="159">
        <f>+'EJ. DESAGREGADA'!X55</f>
        <v>13591056</v>
      </c>
      <c r="K79" s="381">
        <f t="shared" ref="K79:K82" si="31">+J79/I79</f>
        <v>1</v>
      </c>
      <c r="L79" s="159">
        <f>+'EJ. DESAGREGADA'!AB55</f>
        <v>0</v>
      </c>
      <c r="M79" s="159">
        <f>+'EJ. DESAGREGADA'!W40</f>
        <v>0</v>
      </c>
      <c r="N79" s="159">
        <f>+'EJ. DESAGREGADA'!Y55</f>
        <v>9974700</v>
      </c>
      <c r="O79" s="168">
        <f t="shared" ref="O79:O82" si="32">+N79/I79</f>
        <v>0.73391648154492195</v>
      </c>
      <c r="P79" s="159">
        <f>+'EJ. DESAGREGADA'!AA55</f>
        <v>9974700</v>
      </c>
      <c r="Q79" s="169">
        <f t="shared" ref="Q79:Q82" si="33">+P79/I79</f>
        <v>0.73391648154492195</v>
      </c>
    </row>
    <row r="80" spans="1:49" ht="21.6" x14ac:dyDescent="0.3">
      <c r="A80" s="274">
        <v>2</v>
      </c>
      <c r="B80" s="275">
        <v>2</v>
      </c>
      <c r="C80" s="275">
        <v>2</v>
      </c>
      <c r="D80" s="149">
        <v>9</v>
      </c>
      <c r="E80" s="149">
        <v>4</v>
      </c>
      <c r="F80" s="143"/>
      <c r="G80" s="143"/>
      <c r="H80" s="167" t="s">
        <v>113</v>
      </c>
      <c r="I80" s="159">
        <f>+'EJ. DESAGREGADA'!T56</f>
        <v>2057439</v>
      </c>
      <c r="J80" s="159">
        <f>+'EJ. DESAGREGADA'!X56</f>
        <v>1489650</v>
      </c>
      <c r="K80" s="381">
        <f t="shared" si="31"/>
        <v>0.72403118634379926</v>
      </c>
      <c r="L80" s="159">
        <f>+'EJ. DESAGREGADA'!AB56</f>
        <v>567789</v>
      </c>
      <c r="M80" s="159">
        <f>+'EJ. DESAGREGADA'!W41</f>
        <v>0</v>
      </c>
      <c r="N80" s="159">
        <f>+'EJ. DESAGREGADA'!Y56</f>
        <v>1489650</v>
      </c>
      <c r="O80" s="168">
        <f t="shared" si="32"/>
        <v>0.72403118634379926</v>
      </c>
      <c r="P80" s="159">
        <f>+'EJ. DESAGREGADA'!AA56</f>
        <v>1489650</v>
      </c>
      <c r="Q80" s="169">
        <f t="shared" si="33"/>
        <v>0.72403118634379926</v>
      </c>
    </row>
    <row r="81" spans="1:49" x14ac:dyDescent="0.3">
      <c r="A81" s="274">
        <v>2</v>
      </c>
      <c r="B81" s="275">
        <v>2</v>
      </c>
      <c r="C81" s="275">
        <v>2</v>
      </c>
      <c r="D81" s="149">
        <v>9</v>
      </c>
      <c r="E81" s="149">
        <v>6</v>
      </c>
      <c r="F81" s="143"/>
      <c r="G81" s="143"/>
      <c r="H81" s="167" t="s">
        <v>114</v>
      </c>
      <c r="I81" s="159">
        <f>+'EJ. DESAGREGADA'!T57</f>
        <v>180000000</v>
      </c>
      <c r="J81" s="159">
        <f>+'EJ. DESAGREGADA'!X57</f>
        <v>180000000</v>
      </c>
      <c r="K81" s="381">
        <f t="shared" si="31"/>
        <v>1</v>
      </c>
      <c r="L81" s="159">
        <f>+'EJ. DESAGREGADA'!AB57</f>
        <v>0</v>
      </c>
      <c r="M81" s="159">
        <f>+'EJ. DESAGREGADA'!W57</f>
        <v>0</v>
      </c>
      <c r="N81" s="159">
        <f>+'EJ. DESAGREGADA'!Y57</f>
        <v>55111049</v>
      </c>
      <c r="O81" s="168">
        <f t="shared" si="32"/>
        <v>0.30617249444444444</v>
      </c>
      <c r="P81" s="159">
        <f>+'EJ. DESAGREGADA'!AA57</f>
        <v>55111049</v>
      </c>
      <c r="Q81" s="169">
        <f t="shared" si="33"/>
        <v>0.30617249444444444</v>
      </c>
    </row>
    <row r="82" spans="1:49" s="130" customFormat="1" x14ac:dyDescent="0.3">
      <c r="A82" s="279">
        <v>2</v>
      </c>
      <c r="B82" s="280">
        <v>2</v>
      </c>
      <c r="C82" s="280">
        <v>2</v>
      </c>
      <c r="D82" s="174">
        <v>10</v>
      </c>
      <c r="E82" s="143"/>
      <c r="F82" s="143"/>
      <c r="G82" s="143"/>
      <c r="H82" s="176" t="s">
        <v>115</v>
      </c>
      <c r="I82" s="173">
        <f>+'EJ. DESAGREGADA'!T58</f>
        <v>300000000</v>
      </c>
      <c r="J82" s="173">
        <f>+'EJ. DESAGREGADA'!X58</f>
        <v>112123289</v>
      </c>
      <c r="K82" s="382">
        <f t="shared" si="31"/>
        <v>0.37374429666666664</v>
      </c>
      <c r="L82" s="173">
        <f>+'EJ. DESAGREGADA'!AB58</f>
        <v>187876711</v>
      </c>
      <c r="M82" s="173">
        <f>+'EJ. DESAGREGADA'!W58</f>
        <v>0</v>
      </c>
      <c r="N82" s="173">
        <f>+'EJ. DESAGREGADA'!Y58</f>
        <v>112123289</v>
      </c>
      <c r="O82" s="165">
        <f t="shared" si="32"/>
        <v>0.37374429666666664</v>
      </c>
      <c r="P82" s="173">
        <f>+'EJ. DESAGREGADA'!AA58</f>
        <v>108789124</v>
      </c>
      <c r="Q82" s="166">
        <f t="shared" si="33"/>
        <v>0.36263041333333335</v>
      </c>
      <c r="AW82" s="131"/>
    </row>
    <row r="83" spans="1:49" s="130" customFormat="1" x14ac:dyDescent="0.3">
      <c r="A83" s="268" t="s">
        <v>57</v>
      </c>
      <c r="B83" s="124" t="s">
        <v>59</v>
      </c>
      <c r="C83" s="269" t="s">
        <v>59</v>
      </c>
      <c r="D83" s="124" t="s">
        <v>59</v>
      </c>
      <c r="E83" s="269"/>
      <c r="F83" s="124"/>
      <c r="G83" s="124"/>
      <c r="H83" s="125" t="s">
        <v>116</v>
      </c>
      <c r="I83" s="126">
        <f>+I84+I88+I92</f>
        <v>104679345544</v>
      </c>
      <c r="J83" s="126">
        <f>+J84+J88+J92</f>
        <v>53242960276.240005</v>
      </c>
      <c r="K83" s="376">
        <f>+J83/I83</f>
        <v>0.50862909009934842</v>
      </c>
      <c r="L83" s="126">
        <f>+L84+L88+L92</f>
        <v>17734075635.599998</v>
      </c>
      <c r="M83" s="126">
        <f>+M84+M88+M92</f>
        <v>33702309631.959999</v>
      </c>
      <c r="N83" s="126">
        <f>+N84+N88+N92</f>
        <v>30633348964.899998</v>
      </c>
      <c r="O83" s="127">
        <f t="shared" ref="O83:Q83" si="34">+O84+O88+O92</f>
        <v>1.1646949542927736</v>
      </c>
      <c r="P83" s="126">
        <f>+P84+P88+P92</f>
        <v>30633348964.899998</v>
      </c>
      <c r="Q83" s="128">
        <f t="shared" si="34"/>
        <v>1.1646949542927736</v>
      </c>
      <c r="AW83" s="131"/>
    </row>
    <row r="84" spans="1:49" s="182" customFormat="1" x14ac:dyDescent="0.3">
      <c r="A84" s="277" t="s">
        <v>57</v>
      </c>
      <c r="B84" s="278">
        <v>3</v>
      </c>
      <c r="C84" s="137" t="s">
        <v>59</v>
      </c>
      <c r="D84" s="137" t="s">
        <v>59</v>
      </c>
      <c r="E84" s="178"/>
      <c r="F84" s="178"/>
      <c r="G84" s="178"/>
      <c r="H84" s="138" t="s">
        <v>117</v>
      </c>
      <c r="I84" s="161">
        <f>+I85</f>
        <v>87615180154</v>
      </c>
      <c r="J84" s="161">
        <f t="shared" ref="J84:N84" si="35">+J85</f>
        <v>42123251619.940002</v>
      </c>
      <c r="K84" s="383">
        <f t="shared" ref="K84:K96" si="36">+J84/I84</f>
        <v>0.48077572340661218</v>
      </c>
      <c r="L84" s="161">
        <f>+L85</f>
        <v>13243616119.279999</v>
      </c>
      <c r="M84" s="161">
        <f>+M85</f>
        <v>32248312414.779999</v>
      </c>
      <c r="N84" s="161">
        <f t="shared" si="35"/>
        <v>19538961850.599998</v>
      </c>
      <c r="O84" s="162">
        <f>+N84/I84</f>
        <v>0.22300886463118189</v>
      </c>
      <c r="P84" s="161">
        <f>+P85</f>
        <v>19538961850.599998</v>
      </c>
      <c r="Q84" s="163">
        <f t="shared" ref="Q84:Q96" si="37">+P84/I84</f>
        <v>0.22300886463118189</v>
      </c>
      <c r="R84" s="179"/>
      <c r="S84" s="179"/>
      <c r="T84" s="179"/>
      <c r="U84" s="179"/>
      <c r="V84" s="179"/>
      <c r="W84" s="179"/>
      <c r="X84" s="179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1"/>
      <c r="AW84" s="183"/>
    </row>
    <row r="85" spans="1:49" s="182" customFormat="1" x14ac:dyDescent="0.3">
      <c r="A85" s="272" t="s">
        <v>57</v>
      </c>
      <c r="B85" s="273">
        <v>3</v>
      </c>
      <c r="C85" s="273">
        <v>1</v>
      </c>
      <c r="D85" s="155" t="s">
        <v>59</v>
      </c>
      <c r="E85" s="155"/>
      <c r="F85" s="172"/>
      <c r="G85" s="172"/>
      <c r="H85" s="164" t="s">
        <v>118</v>
      </c>
      <c r="I85" s="145">
        <f>+I86+I87</f>
        <v>87615180154</v>
      </c>
      <c r="J85" s="145">
        <f>+J86</f>
        <v>42123251619.940002</v>
      </c>
      <c r="K85" s="384">
        <f t="shared" si="36"/>
        <v>0.48077572340661218</v>
      </c>
      <c r="L85" s="145">
        <f>+L86+L87</f>
        <v>13243616119.279999</v>
      </c>
      <c r="M85" s="145">
        <f>+M86</f>
        <v>32248312414.779999</v>
      </c>
      <c r="N85" s="145">
        <f>+N86</f>
        <v>19538961850.599998</v>
      </c>
      <c r="O85" s="147">
        <f t="shared" ref="O85:O97" si="38">+N85/I85</f>
        <v>0.22300886463118189</v>
      </c>
      <c r="P85" s="145">
        <f>+P86</f>
        <v>19538961850.599998</v>
      </c>
      <c r="Q85" s="148">
        <f t="shared" si="37"/>
        <v>0.22300886463118189</v>
      </c>
      <c r="R85" s="179"/>
      <c r="S85" s="179"/>
      <c r="T85" s="179"/>
      <c r="U85" s="179"/>
      <c r="V85" s="179"/>
      <c r="W85" s="179"/>
      <c r="X85" s="179"/>
      <c r="Y85" s="180"/>
      <c r="Z85" s="180"/>
      <c r="AA85" s="180"/>
      <c r="AB85" s="180"/>
      <c r="AC85" s="180"/>
      <c r="AD85" s="180"/>
      <c r="AE85" s="180"/>
      <c r="AF85" s="180"/>
      <c r="AG85" s="180"/>
      <c r="AH85" s="184"/>
      <c r="AI85" s="181"/>
      <c r="AW85" s="183"/>
    </row>
    <row r="86" spans="1:49" s="120" customFormat="1" ht="37.5" customHeight="1" x14ac:dyDescent="0.3">
      <c r="A86" s="274" t="s">
        <v>57</v>
      </c>
      <c r="B86" s="275">
        <v>3</v>
      </c>
      <c r="C86" s="275">
        <v>1</v>
      </c>
      <c r="D86" s="149">
        <v>78</v>
      </c>
      <c r="E86" s="185"/>
      <c r="F86" s="186"/>
      <c r="G86" s="186"/>
      <c r="H86" s="167" t="s">
        <v>119</v>
      </c>
      <c r="I86" s="152">
        <f>+'EJ. AGREGADA'!T10</f>
        <v>87615180154</v>
      </c>
      <c r="J86" s="152">
        <f>+'EJ. AGREGADA'!X10</f>
        <v>42123251619.940002</v>
      </c>
      <c r="K86" s="381">
        <f t="shared" si="36"/>
        <v>0.48077572340661218</v>
      </c>
      <c r="L86" s="152">
        <f>+'EJ. AGREGADA'!AC10-1539271447.39</f>
        <v>13243616119.279999</v>
      </c>
      <c r="M86" s="152">
        <f>'EJ. AGREGADA'!W10+1539271447.39</f>
        <v>32248312414.779999</v>
      </c>
      <c r="N86" s="152">
        <f>+'EJ. AGREGADA'!Y10</f>
        <v>19538961850.599998</v>
      </c>
      <c r="O86" s="168">
        <f t="shared" si="38"/>
        <v>0.22300886463118189</v>
      </c>
      <c r="P86" s="152">
        <f>+'EJ. AGREGADA'!AA10</f>
        <v>19538961850.599998</v>
      </c>
      <c r="Q86" s="169">
        <f t="shared" si="37"/>
        <v>0.22300886463118189</v>
      </c>
      <c r="AW86" s="187"/>
    </row>
    <row r="87" spans="1:49" s="120" customFormat="1" x14ac:dyDescent="0.3">
      <c r="A87" s="274" t="s">
        <v>57</v>
      </c>
      <c r="B87" s="275">
        <v>3</v>
      </c>
      <c r="C87" s="275">
        <v>1</v>
      </c>
      <c r="D87" s="149">
        <v>999</v>
      </c>
      <c r="E87" s="185"/>
      <c r="F87" s="186"/>
      <c r="G87" s="186"/>
      <c r="H87" s="167" t="s">
        <v>120</v>
      </c>
      <c r="I87" s="152">
        <f>+'EJ. AGREGADA'!T11</f>
        <v>0</v>
      </c>
      <c r="J87" s="152">
        <f>+'EJ. AGREGADA'!X11</f>
        <v>0</v>
      </c>
      <c r="K87" s="381" t="e">
        <f t="shared" si="36"/>
        <v>#DIV/0!</v>
      </c>
      <c r="L87" s="152">
        <f>+'EJ. AGREGADA'!AC11</f>
        <v>0</v>
      </c>
      <c r="M87" s="344">
        <f>+'EJ. AGREGADA'!W11</f>
        <v>0</v>
      </c>
      <c r="N87" s="152">
        <f>+'EJ. AGREGADA'!Y11</f>
        <v>0</v>
      </c>
      <c r="O87" s="168"/>
      <c r="P87" s="152">
        <f>+'EJ. AGREGADA'!AA11</f>
        <v>0</v>
      </c>
      <c r="Q87" s="169"/>
      <c r="AW87" s="187"/>
    </row>
    <row r="88" spans="1:49" s="120" customFormat="1" x14ac:dyDescent="0.3">
      <c r="A88" s="277" t="s">
        <v>57</v>
      </c>
      <c r="B88" s="278" t="s">
        <v>121</v>
      </c>
      <c r="C88" s="178"/>
      <c r="D88" s="178"/>
      <c r="E88" s="178"/>
      <c r="F88" s="188"/>
      <c r="G88" s="188"/>
      <c r="H88" s="138" t="s">
        <v>122</v>
      </c>
      <c r="I88" s="161">
        <f>+I89</f>
        <v>262700000</v>
      </c>
      <c r="J88" s="161">
        <f t="shared" ref="J88:P88" si="39">+J89</f>
        <v>100409779</v>
      </c>
      <c r="K88" s="383">
        <f t="shared" si="36"/>
        <v>0.38222222687476209</v>
      </c>
      <c r="L88" s="161">
        <f>+L89</f>
        <v>162290221</v>
      </c>
      <c r="M88" s="161">
        <f>+M89</f>
        <v>0</v>
      </c>
      <c r="N88" s="161">
        <f t="shared" si="39"/>
        <v>75088237</v>
      </c>
      <c r="O88" s="162">
        <f t="shared" si="38"/>
        <v>0.28583264940997333</v>
      </c>
      <c r="P88" s="161">
        <f t="shared" si="39"/>
        <v>75088237</v>
      </c>
      <c r="Q88" s="163">
        <f t="shared" si="37"/>
        <v>0.28583264940997333</v>
      </c>
      <c r="AW88" s="187"/>
    </row>
    <row r="89" spans="1:49" s="189" customFormat="1" x14ac:dyDescent="0.3">
      <c r="A89" s="272" t="s">
        <v>57</v>
      </c>
      <c r="B89" s="273" t="s">
        <v>121</v>
      </c>
      <c r="C89" s="273" t="s">
        <v>45</v>
      </c>
      <c r="D89" s="142"/>
      <c r="E89" s="172"/>
      <c r="F89" s="186"/>
      <c r="G89" s="186"/>
      <c r="H89" s="164" t="s">
        <v>123</v>
      </c>
      <c r="I89" s="173">
        <f>+I90+I91</f>
        <v>262700000</v>
      </c>
      <c r="J89" s="173">
        <f t="shared" ref="J89:P89" si="40">+J90+J91</f>
        <v>100409779</v>
      </c>
      <c r="K89" s="382">
        <f t="shared" si="36"/>
        <v>0.38222222687476209</v>
      </c>
      <c r="L89" s="173">
        <f>+L90+L91</f>
        <v>162290221</v>
      </c>
      <c r="M89" s="173">
        <f>+M90+M91</f>
        <v>0</v>
      </c>
      <c r="N89" s="173">
        <f t="shared" si="40"/>
        <v>75088237</v>
      </c>
      <c r="O89" s="165">
        <f t="shared" si="38"/>
        <v>0.28583264940997333</v>
      </c>
      <c r="P89" s="173">
        <f t="shared" si="40"/>
        <v>75088237</v>
      </c>
      <c r="Q89" s="166">
        <f t="shared" si="37"/>
        <v>0.28583264940997333</v>
      </c>
      <c r="AW89" s="190"/>
    </row>
    <row r="90" spans="1:49" s="189" customFormat="1" x14ac:dyDescent="0.3">
      <c r="A90" s="274" t="s">
        <v>57</v>
      </c>
      <c r="B90" s="275" t="s">
        <v>121</v>
      </c>
      <c r="C90" s="275" t="s">
        <v>45</v>
      </c>
      <c r="D90" s="149" t="s">
        <v>124</v>
      </c>
      <c r="E90" s="149">
        <v>1</v>
      </c>
      <c r="F90" s="143"/>
      <c r="G90" s="143"/>
      <c r="H90" s="167" t="s">
        <v>125</v>
      </c>
      <c r="I90" s="159">
        <f>+'EJ. DESAGREGADA'!T59</f>
        <v>140300000</v>
      </c>
      <c r="J90" s="159">
        <f>+'EJ. DESAGREGADA'!X59</f>
        <v>53099943</v>
      </c>
      <c r="K90" s="381">
        <f t="shared" si="36"/>
        <v>0.37847429080541695</v>
      </c>
      <c r="L90" s="159">
        <f>+'EJ. DESAGREGADA'!AB59</f>
        <v>87200057</v>
      </c>
      <c r="M90" s="159">
        <f>+'EJ. DESAGREGADA'!W59</f>
        <v>0</v>
      </c>
      <c r="N90" s="159">
        <f>+'EJ. DESAGREGADA'!Y59</f>
        <v>27778401</v>
      </c>
      <c r="O90" s="168">
        <f t="shared" si="38"/>
        <v>0.19799287954383463</v>
      </c>
      <c r="P90" s="159">
        <f>+'EJ. DESAGREGADA'!AA59</f>
        <v>27778401</v>
      </c>
      <c r="Q90" s="169">
        <f t="shared" si="37"/>
        <v>0.19799287954383463</v>
      </c>
      <c r="AW90" s="190"/>
    </row>
    <row r="91" spans="1:49" s="189" customFormat="1" x14ac:dyDescent="0.3">
      <c r="A91" s="274" t="s">
        <v>57</v>
      </c>
      <c r="B91" s="275" t="s">
        <v>121</v>
      </c>
      <c r="C91" s="275" t="s">
        <v>45</v>
      </c>
      <c r="D91" s="149" t="s">
        <v>124</v>
      </c>
      <c r="E91" s="149">
        <v>2</v>
      </c>
      <c r="F91" s="143"/>
      <c r="G91" s="143"/>
      <c r="H91" s="167" t="s">
        <v>126</v>
      </c>
      <c r="I91" s="159">
        <f>+'EJ. DESAGREGADA'!T60</f>
        <v>122400000</v>
      </c>
      <c r="J91" s="159">
        <f>+'EJ. DESAGREGADA'!X60</f>
        <v>47309836</v>
      </c>
      <c r="K91" s="381">
        <f t="shared" si="36"/>
        <v>0.38651826797385619</v>
      </c>
      <c r="L91" s="159">
        <f>+'EJ. DESAGREGADA'!AB60</f>
        <v>75090164</v>
      </c>
      <c r="M91" s="159">
        <f>+'EJ. DESAGREGADA'!W60</f>
        <v>0</v>
      </c>
      <c r="N91" s="159">
        <f>+'EJ. DESAGREGADA'!Y60</f>
        <v>47309836</v>
      </c>
      <c r="O91" s="168">
        <f t="shared" si="38"/>
        <v>0.38651826797385619</v>
      </c>
      <c r="P91" s="159">
        <f>+'EJ. DESAGREGADA'!AA60</f>
        <v>47309836</v>
      </c>
      <c r="Q91" s="169">
        <f t="shared" si="37"/>
        <v>0.38651826797385619</v>
      </c>
      <c r="AW91" s="190"/>
    </row>
    <row r="92" spans="1:49" s="189" customFormat="1" x14ac:dyDescent="0.3">
      <c r="A92" s="277">
        <v>3</v>
      </c>
      <c r="B92" s="278">
        <v>10</v>
      </c>
      <c r="C92" s="178"/>
      <c r="D92" s="178"/>
      <c r="E92" s="178"/>
      <c r="F92" s="188"/>
      <c r="G92" s="188"/>
      <c r="H92" s="138" t="s">
        <v>127</v>
      </c>
      <c r="I92" s="161">
        <f>+'EJ. AGREGADA'!T13</f>
        <v>16801465390</v>
      </c>
      <c r="J92" s="161">
        <f>+J93</f>
        <v>11019298877.299999</v>
      </c>
      <c r="K92" s="383">
        <f>+J92/I92</f>
        <v>0.6558534402516184</v>
      </c>
      <c r="L92" s="161">
        <f t="shared" ref="L92:N93" si="41">+L93</f>
        <v>4328169295.3199997</v>
      </c>
      <c r="M92" s="161">
        <f>+M93</f>
        <v>1453997217.1800001</v>
      </c>
      <c r="N92" s="161">
        <f t="shared" si="41"/>
        <v>11019298877.299999</v>
      </c>
      <c r="O92" s="162">
        <f>+N92/I92</f>
        <v>0.6558534402516184</v>
      </c>
      <c r="P92" s="161">
        <f>+P93</f>
        <v>11019298877.299999</v>
      </c>
      <c r="Q92" s="163">
        <f>+P92/I92</f>
        <v>0.6558534402516184</v>
      </c>
      <c r="AW92" s="190"/>
    </row>
    <row r="93" spans="1:49" s="130" customFormat="1" x14ac:dyDescent="0.3">
      <c r="A93" s="279">
        <v>3</v>
      </c>
      <c r="B93" s="280">
        <v>10</v>
      </c>
      <c r="C93" s="191" t="s">
        <v>45</v>
      </c>
      <c r="D93" s="172"/>
      <c r="E93" s="172"/>
      <c r="F93" s="186"/>
      <c r="G93" s="186"/>
      <c r="H93" s="164" t="s">
        <v>128</v>
      </c>
      <c r="I93" s="173">
        <f>+I94</f>
        <v>16801465389.799999</v>
      </c>
      <c r="J93" s="173">
        <f>+J94</f>
        <v>11019298877.299999</v>
      </c>
      <c r="K93" s="382">
        <f>+J93/I93</f>
        <v>0.65585344025942549</v>
      </c>
      <c r="L93" s="173">
        <f t="shared" si="41"/>
        <v>4328169295.3199997</v>
      </c>
      <c r="M93" s="173">
        <f>+M94</f>
        <v>1453997217.1800001</v>
      </c>
      <c r="N93" s="173">
        <f t="shared" si="41"/>
        <v>11019298877.299999</v>
      </c>
      <c r="O93" s="165">
        <f>+N93/I93</f>
        <v>0.65585344025942549</v>
      </c>
      <c r="P93" s="173">
        <f>+P94</f>
        <v>11019298877.299999</v>
      </c>
      <c r="Q93" s="169">
        <f>+P93/I93</f>
        <v>0.65585344025942549</v>
      </c>
      <c r="AW93" s="131"/>
    </row>
    <row r="94" spans="1:49" s="189" customFormat="1" ht="21.6" x14ac:dyDescent="0.3">
      <c r="A94" s="274">
        <v>3</v>
      </c>
      <c r="B94" s="275">
        <v>10</v>
      </c>
      <c r="C94" s="275">
        <v>2</v>
      </c>
      <c r="D94" s="149">
        <v>1</v>
      </c>
      <c r="E94" s="149"/>
      <c r="F94" s="143"/>
      <c r="G94" s="143"/>
      <c r="H94" s="167" t="s">
        <v>129</v>
      </c>
      <c r="I94" s="159">
        <f>+'EJ. DESAGREGADA'!T61</f>
        <v>16801465389.799999</v>
      </c>
      <c r="J94" s="159">
        <f>+'EJ. DESAGREGADA'!X61</f>
        <v>11019298877.299999</v>
      </c>
      <c r="K94" s="381">
        <f>+J94/I94</f>
        <v>0.65585344025942549</v>
      </c>
      <c r="L94" s="159">
        <f>+'EJ. DESAGREGADA'!AB61-80786831.18</f>
        <v>4328169295.3199997</v>
      </c>
      <c r="M94" s="159">
        <f>+'EJ. DESAGREGADA'!W61+80786831.18</f>
        <v>1453997217.1800001</v>
      </c>
      <c r="N94" s="159">
        <f>+'EJ. DESAGREGADA'!Y61</f>
        <v>11019298877.299999</v>
      </c>
      <c r="O94" s="168">
        <f>+N94/I94</f>
        <v>0.65585344025942549</v>
      </c>
      <c r="P94" s="159">
        <f>+'EJ. DESAGREGADA'!AA61</f>
        <v>11019298877.299999</v>
      </c>
      <c r="Q94" s="169">
        <f>+P94/I94</f>
        <v>0.65585344025942549</v>
      </c>
      <c r="AW94" s="190"/>
    </row>
    <row r="95" spans="1:49" s="130" customFormat="1" x14ac:dyDescent="0.3">
      <c r="A95" s="268" t="s">
        <v>130</v>
      </c>
      <c r="B95" s="124" t="s">
        <v>59</v>
      </c>
      <c r="C95" s="269" t="s">
        <v>59</v>
      </c>
      <c r="D95" s="124" t="s">
        <v>59</v>
      </c>
      <c r="E95" s="269"/>
      <c r="F95" s="124"/>
      <c r="G95" s="124"/>
      <c r="H95" s="125" t="s">
        <v>131</v>
      </c>
      <c r="I95" s="126">
        <f>+I96</f>
        <v>299100000</v>
      </c>
      <c r="J95" s="126">
        <f>+J96</f>
        <v>0</v>
      </c>
      <c r="K95" s="376">
        <f t="shared" si="36"/>
        <v>0</v>
      </c>
      <c r="L95" s="126">
        <f>+L96</f>
        <v>0</v>
      </c>
      <c r="M95" s="126">
        <f>+M96</f>
        <v>299100000</v>
      </c>
      <c r="N95" s="126">
        <f t="shared" ref="J95:P96" si="42">+N96</f>
        <v>0</v>
      </c>
      <c r="O95" s="127">
        <f t="shared" si="38"/>
        <v>0</v>
      </c>
      <c r="P95" s="126">
        <f t="shared" si="42"/>
        <v>0</v>
      </c>
      <c r="Q95" s="128">
        <f t="shared" si="37"/>
        <v>0</v>
      </c>
      <c r="AW95" s="131"/>
    </row>
    <row r="96" spans="1:49" s="120" customFormat="1" x14ac:dyDescent="0.3">
      <c r="A96" s="277" t="s">
        <v>130</v>
      </c>
      <c r="B96" s="278" t="s">
        <v>121</v>
      </c>
      <c r="C96" s="278" t="s">
        <v>59</v>
      </c>
      <c r="D96" s="171"/>
      <c r="E96" s="171"/>
      <c r="F96" s="192"/>
      <c r="G96" s="192"/>
      <c r="H96" s="193" t="s">
        <v>132</v>
      </c>
      <c r="I96" s="161">
        <f>+I97</f>
        <v>299100000</v>
      </c>
      <c r="J96" s="161">
        <f t="shared" si="42"/>
        <v>0</v>
      </c>
      <c r="K96" s="383">
        <f t="shared" si="36"/>
        <v>0</v>
      </c>
      <c r="L96" s="161">
        <f>+L97</f>
        <v>0</v>
      </c>
      <c r="M96" s="161">
        <f>+M97</f>
        <v>299100000</v>
      </c>
      <c r="N96" s="161">
        <f t="shared" si="42"/>
        <v>0</v>
      </c>
      <c r="O96" s="162">
        <f t="shared" si="38"/>
        <v>0</v>
      </c>
      <c r="P96" s="161">
        <f t="shared" si="42"/>
        <v>0</v>
      </c>
      <c r="Q96" s="163">
        <f t="shared" si="37"/>
        <v>0</v>
      </c>
      <c r="AW96" s="187"/>
    </row>
    <row r="97" spans="1:49" s="120" customFormat="1" x14ac:dyDescent="0.3">
      <c r="A97" s="274" t="s">
        <v>130</v>
      </c>
      <c r="B97" s="275" t="s">
        <v>121</v>
      </c>
      <c r="C97" s="275" t="s">
        <v>27</v>
      </c>
      <c r="D97" s="143"/>
      <c r="E97" s="143"/>
      <c r="F97" s="194"/>
      <c r="G97" s="194"/>
      <c r="H97" s="150" t="s">
        <v>133</v>
      </c>
      <c r="I97" s="152">
        <f>+'EJ. AGREGADA'!T14</f>
        <v>299100000</v>
      </c>
      <c r="J97" s="152">
        <f>+'EJ. AGREGADA'!X14</f>
        <v>0</v>
      </c>
      <c r="K97" s="385">
        <f>+J97/I97</f>
        <v>0</v>
      </c>
      <c r="L97" s="152">
        <f>+'EJ. AGREGADA'!AC14-M97</f>
        <v>0</v>
      </c>
      <c r="M97" s="344">
        <v>299100000</v>
      </c>
      <c r="N97" s="152">
        <f>+'EJ. AGREGADA'!Y14</f>
        <v>0</v>
      </c>
      <c r="O97" s="195">
        <f t="shared" si="38"/>
        <v>0</v>
      </c>
      <c r="P97" s="152">
        <f>+'EJ. AGREGADA'!AA14</f>
        <v>0</v>
      </c>
      <c r="Q97" s="196">
        <f>+P97/I97</f>
        <v>0</v>
      </c>
      <c r="AW97" s="187"/>
    </row>
    <row r="98" spans="1:49" s="201" customFormat="1" ht="17.25" customHeight="1" x14ac:dyDescent="0.3">
      <c r="A98" s="435" t="s">
        <v>134</v>
      </c>
      <c r="B98" s="436"/>
      <c r="C98" s="436"/>
      <c r="D98" s="436"/>
      <c r="E98" s="436"/>
      <c r="F98" s="436"/>
      <c r="G98" s="437"/>
      <c r="H98" s="197" t="s">
        <v>135</v>
      </c>
      <c r="I98" s="198">
        <f>+I8+I37+I83+I95</f>
        <v>195435745544</v>
      </c>
      <c r="J98" s="198">
        <f>+J8+J37+J83+J95</f>
        <v>102843325323.12001</v>
      </c>
      <c r="K98" s="386">
        <f t="shared" ref="K98:K113" si="43">+J98/I98</f>
        <v>0.52622576815133382</v>
      </c>
      <c r="L98" s="198">
        <f>+L8+L37+L83+L95</f>
        <v>45618451230.709991</v>
      </c>
      <c r="M98" s="198">
        <f>+M8+M37+M83+M95</f>
        <v>40757507752.970001</v>
      </c>
      <c r="N98" s="198">
        <f>+N8+N37+N83+N95</f>
        <v>74277897244.319992</v>
      </c>
      <c r="O98" s="199">
        <f t="shared" ref="O98:O113" si="44">+N98/I98</f>
        <v>0.38006300760163253</v>
      </c>
      <c r="P98" s="198">
        <f>+P8+P37+P83+P95</f>
        <v>73769517776.319992</v>
      </c>
      <c r="Q98" s="200">
        <f t="shared" ref="Q98:Q113" si="45">+P98/I98</f>
        <v>0.37746174616614175</v>
      </c>
      <c r="T98" s="416">
        <f>+M98-'EJECUCION AGENCIA'!$M$98</f>
        <v>0</v>
      </c>
      <c r="AW98" s="202"/>
    </row>
    <row r="99" spans="1:49" s="189" customFormat="1" ht="21.6" x14ac:dyDescent="0.3">
      <c r="A99" s="203" t="s">
        <v>136</v>
      </c>
      <c r="B99" s="204" t="s">
        <v>137</v>
      </c>
      <c r="C99" s="204">
        <v>3</v>
      </c>
      <c r="D99" s="124"/>
      <c r="E99" s="124"/>
      <c r="F99" s="124"/>
      <c r="G99" s="124"/>
      <c r="H99" s="125" t="s">
        <v>138</v>
      </c>
      <c r="I99" s="205">
        <f>+I100</f>
        <v>12266327000</v>
      </c>
      <c r="J99" s="205">
        <f>+J100</f>
        <v>9660303276</v>
      </c>
      <c r="K99" s="387">
        <f t="shared" si="43"/>
        <v>0.78754653092160354</v>
      </c>
      <c r="L99" s="205">
        <f>+L100</f>
        <v>2405150102</v>
      </c>
      <c r="M99" s="205">
        <f>+M100</f>
        <v>200873622</v>
      </c>
      <c r="N99" s="205">
        <f t="shared" ref="N99:P99" si="46">+N100</f>
        <v>2257206885</v>
      </c>
      <c r="O99" s="206">
        <f t="shared" si="44"/>
        <v>0.18401652630000814</v>
      </c>
      <c r="P99" s="205">
        <f t="shared" si="46"/>
        <v>2257206885</v>
      </c>
      <c r="Q99" s="207">
        <f t="shared" si="45"/>
        <v>0.18401652630000814</v>
      </c>
      <c r="AU99" s="190"/>
    </row>
    <row r="100" spans="1:49" s="189" customFormat="1" ht="21.6" x14ac:dyDescent="0.3">
      <c r="A100" s="136" t="s">
        <v>136</v>
      </c>
      <c r="B100" s="137" t="s">
        <v>137</v>
      </c>
      <c r="C100" s="137">
        <v>3</v>
      </c>
      <c r="D100" s="137" t="s">
        <v>139</v>
      </c>
      <c r="E100" s="137"/>
      <c r="F100" s="171"/>
      <c r="G100" s="171"/>
      <c r="H100" s="138" t="s">
        <v>140</v>
      </c>
      <c r="I100" s="161">
        <f>+I101+I104+I107+I110</f>
        <v>12266327000</v>
      </c>
      <c r="J100" s="161">
        <f>+J101+J104+J107+J110</f>
        <v>9660303276</v>
      </c>
      <c r="K100" s="383">
        <f t="shared" si="43"/>
        <v>0.78754653092160354</v>
      </c>
      <c r="L100" s="161">
        <f>+L101+L104+L107+L110</f>
        <v>2405150102</v>
      </c>
      <c r="M100" s="161">
        <f>+M101+M104+M107+M110</f>
        <v>200873622</v>
      </c>
      <c r="N100" s="161">
        <f>+N101+N104+N107</f>
        <v>2257206885</v>
      </c>
      <c r="O100" s="162">
        <f t="shared" si="44"/>
        <v>0.18401652630000814</v>
      </c>
      <c r="P100" s="161">
        <f>+P101+P104+P107</f>
        <v>2257206885</v>
      </c>
      <c r="Q100" s="163">
        <f t="shared" si="45"/>
        <v>0.18401652630000814</v>
      </c>
      <c r="R100" s="118"/>
      <c r="AW100" s="190"/>
    </row>
    <row r="101" spans="1:49" s="130" customFormat="1" ht="35.25" customHeight="1" x14ac:dyDescent="0.3">
      <c r="A101" s="208" t="s">
        <v>136</v>
      </c>
      <c r="B101" s="155" t="s">
        <v>137</v>
      </c>
      <c r="C101" s="155">
        <v>3</v>
      </c>
      <c r="D101" s="155" t="s">
        <v>139</v>
      </c>
      <c r="E101" s="155">
        <v>1205005</v>
      </c>
      <c r="F101" s="155"/>
      <c r="G101" s="155"/>
      <c r="H101" s="164" t="s">
        <v>141</v>
      </c>
      <c r="I101" s="173">
        <f>+I102</f>
        <v>504623300</v>
      </c>
      <c r="J101" s="173">
        <f t="shared" ref="J101:P102" si="47">+J102</f>
        <v>504623300</v>
      </c>
      <c r="K101" s="382">
        <f t="shared" si="43"/>
        <v>1</v>
      </c>
      <c r="L101" s="173">
        <f>+L102</f>
        <v>0</v>
      </c>
      <c r="M101" s="173">
        <f t="shared" si="47"/>
        <v>0</v>
      </c>
      <c r="N101" s="173">
        <f t="shared" si="47"/>
        <v>313773040</v>
      </c>
      <c r="O101" s="165">
        <f t="shared" si="44"/>
        <v>0.62179657578237069</v>
      </c>
      <c r="P101" s="173">
        <f>+P102</f>
        <v>313773040</v>
      </c>
      <c r="Q101" s="166">
        <f>+P101/I101</f>
        <v>0.62179657578237069</v>
      </c>
      <c r="R101" s="209"/>
      <c r="AW101" s="131"/>
    </row>
    <row r="102" spans="1:49" s="130" customFormat="1" ht="54.75" customHeight="1" x14ac:dyDescent="0.3">
      <c r="A102" s="214" t="s">
        <v>136</v>
      </c>
      <c r="B102" s="215" t="s">
        <v>137</v>
      </c>
      <c r="C102" s="215">
        <v>3</v>
      </c>
      <c r="D102" s="215" t="s">
        <v>139</v>
      </c>
      <c r="E102" s="215">
        <v>1205005</v>
      </c>
      <c r="F102" s="216" t="s">
        <v>45</v>
      </c>
      <c r="G102" s="216"/>
      <c r="H102" s="334" t="s">
        <v>142</v>
      </c>
      <c r="I102" s="335">
        <f>+I103</f>
        <v>504623300</v>
      </c>
      <c r="J102" s="335">
        <f t="shared" si="47"/>
        <v>504623300</v>
      </c>
      <c r="K102" s="388">
        <f t="shared" si="43"/>
        <v>1</v>
      </c>
      <c r="L102" s="335">
        <f t="shared" si="47"/>
        <v>0</v>
      </c>
      <c r="M102" s="173">
        <f t="shared" si="47"/>
        <v>0</v>
      </c>
      <c r="N102" s="335">
        <f t="shared" si="47"/>
        <v>313773040</v>
      </c>
      <c r="O102" s="336">
        <f t="shared" si="44"/>
        <v>0.62179657578237069</v>
      </c>
      <c r="P102" s="335">
        <f t="shared" si="47"/>
        <v>313773040</v>
      </c>
      <c r="Q102" s="337">
        <f t="shared" si="45"/>
        <v>0.62179657578237069</v>
      </c>
      <c r="AW102" s="131"/>
    </row>
    <row r="103" spans="1:49" ht="50.4" customHeight="1" x14ac:dyDescent="0.3">
      <c r="A103" s="210" t="s">
        <v>136</v>
      </c>
      <c r="B103" s="211" t="s">
        <v>137</v>
      </c>
      <c r="C103" s="211">
        <v>3</v>
      </c>
      <c r="D103" s="211" t="s">
        <v>139</v>
      </c>
      <c r="E103" s="211">
        <v>1205005</v>
      </c>
      <c r="F103" s="212" t="s">
        <v>45</v>
      </c>
      <c r="G103" s="212" t="s">
        <v>27</v>
      </c>
      <c r="H103" s="167" t="s">
        <v>143</v>
      </c>
      <c r="I103" s="159">
        <f>+'EJ. DESAGREGADA'!T63</f>
        <v>504623300</v>
      </c>
      <c r="J103" s="159">
        <f>+'EJ. DESAGREGADA'!X63</f>
        <v>504623300</v>
      </c>
      <c r="K103" s="381">
        <f t="shared" si="43"/>
        <v>1</v>
      </c>
      <c r="L103" s="159">
        <f>+'EJ. DESAGREGADA'!AB63</f>
        <v>0</v>
      </c>
      <c r="M103" s="159">
        <f>'EJ. DESAGREGADA'!W63</f>
        <v>0</v>
      </c>
      <c r="N103" s="159">
        <f>+'EJ. DESAGREGADA'!Y63</f>
        <v>313773040</v>
      </c>
      <c r="O103" s="168">
        <f t="shared" si="44"/>
        <v>0.62179657578237069</v>
      </c>
      <c r="P103" s="159">
        <f>+'EJ. DESAGREGADA'!AA63</f>
        <v>313773040</v>
      </c>
      <c r="Q103" s="169">
        <f t="shared" si="45"/>
        <v>0.62179657578237069</v>
      </c>
      <c r="AV103" s="123"/>
      <c r="AW103" s="118"/>
    </row>
    <row r="104" spans="1:49" ht="21.75" customHeight="1" x14ac:dyDescent="0.3">
      <c r="A104" s="214" t="s">
        <v>136</v>
      </c>
      <c r="B104" s="215" t="s">
        <v>137</v>
      </c>
      <c r="C104" s="215">
        <v>3</v>
      </c>
      <c r="D104" s="215" t="s">
        <v>139</v>
      </c>
      <c r="E104" s="215">
        <v>1205007</v>
      </c>
      <c r="F104" s="216"/>
      <c r="G104" s="216"/>
      <c r="H104" s="164" t="s">
        <v>144</v>
      </c>
      <c r="I104" s="173">
        <f>+I105</f>
        <v>3208607242</v>
      </c>
      <c r="J104" s="173">
        <f t="shared" ref="J104:M104" si="48">+J105</f>
        <v>1486000000</v>
      </c>
      <c r="K104" s="382">
        <f t="shared" si="43"/>
        <v>0.46312929190851709</v>
      </c>
      <c r="L104" s="173">
        <f>+L105</f>
        <v>1656080438</v>
      </c>
      <c r="M104" s="173">
        <f t="shared" si="48"/>
        <v>66526804</v>
      </c>
      <c r="N104" s="173">
        <f>+N105</f>
        <v>211800000</v>
      </c>
      <c r="O104" s="165">
        <f t="shared" si="44"/>
        <v>6.6009948873636551E-2</v>
      </c>
      <c r="P104" s="173">
        <f>+P105</f>
        <v>211800000</v>
      </c>
      <c r="Q104" s="166">
        <f t="shared" si="45"/>
        <v>6.6009948873636551E-2</v>
      </c>
      <c r="AV104" s="123"/>
      <c r="AW104" s="118"/>
    </row>
    <row r="105" spans="1:49" s="130" customFormat="1" ht="64.2" customHeight="1" x14ac:dyDescent="0.3">
      <c r="A105" s="214" t="s">
        <v>136</v>
      </c>
      <c r="B105" s="215" t="s">
        <v>137</v>
      </c>
      <c r="C105" s="215">
        <v>3</v>
      </c>
      <c r="D105" s="215" t="s">
        <v>139</v>
      </c>
      <c r="E105" s="215">
        <v>1205007</v>
      </c>
      <c r="F105" s="216" t="s">
        <v>45</v>
      </c>
      <c r="G105" s="216"/>
      <c r="H105" s="334" t="s">
        <v>145</v>
      </c>
      <c r="I105" s="335">
        <f>+I106</f>
        <v>3208607242</v>
      </c>
      <c r="J105" s="335">
        <f>+J106</f>
        <v>1486000000</v>
      </c>
      <c r="K105" s="388">
        <f t="shared" si="43"/>
        <v>0.46312929190851709</v>
      </c>
      <c r="L105" s="335">
        <f>+L106</f>
        <v>1656080438</v>
      </c>
      <c r="M105" s="173">
        <f>+M106</f>
        <v>66526804</v>
      </c>
      <c r="N105" s="335">
        <f>+N106</f>
        <v>211800000</v>
      </c>
      <c r="O105" s="336">
        <f t="shared" si="44"/>
        <v>6.6009948873636551E-2</v>
      </c>
      <c r="P105" s="335">
        <f>+P106</f>
        <v>211800000</v>
      </c>
      <c r="Q105" s="337">
        <f t="shared" si="45"/>
        <v>6.6009948873636551E-2</v>
      </c>
      <c r="AV105" s="131"/>
    </row>
    <row r="106" spans="1:49" ht="57.6" customHeight="1" x14ac:dyDescent="0.3">
      <c r="A106" s="213" t="s">
        <v>136</v>
      </c>
      <c r="B106" s="185" t="s">
        <v>137</v>
      </c>
      <c r="C106" s="185">
        <v>3</v>
      </c>
      <c r="D106" s="185" t="s">
        <v>139</v>
      </c>
      <c r="E106" s="185">
        <v>1205007</v>
      </c>
      <c r="F106" s="217" t="s">
        <v>45</v>
      </c>
      <c r="G106" s="217" t="s">
        <v>27</v>
      </c>
      <c r="H106" s="167" t="s">
        <v>146</v>
      </c>
      <c r="I106" s="159">
        <f>+'EJ. DESAGREGADA'!T64</f>
        <v>3208607242</v>
      </c>
      <c r="J106" s="159">
        <f>+'EJ. DESAGREGADA'!X64</f>
        <v>1486000000</v>
      </c>
      <c r="K106" s="381">
        <f t="shared" si="43"/>
        <v>0.46312929190851709</v>
      </c>
      <c r="L106" s="159">
        <f>+'EJ. DESAGREGADA'!AB64</f>
        <v>1656080438</v>
      </c>
      <c r="M106" s="159">
        <f>'EJ. DESAGREGADA'!W64</f>
        <v>66526804</v>
      </c>
      <c r="N106" s="159">
        <f>+'EJ. DESAGREGADA'!Y64</f>
        <v>211800000</v>
      </c>
      <c r="O106" s="168">
        <f t="shared" si="44"/>
        <v>6.6009948873636551E-2</v>
      </c>
      <c r="P106" s="159">
        <f>+'EJ. DESAGREGADA'!AA64</f>
        <v>211800000</v>
      </c>
      <c r="Q106" s="169">
        <f t="shared" si="45"/>
        <v>6.6009948873636551E-2</v>
      </c>
      <c r="AV106" s="123"/>
      <c r="AW106" s="118"/>
    </row>
    <row r="107" spans="1:49" ht="21.6" x14ac:dyDescent="0.3">
      <c r="A107" s="214" t="s">
        <v>136</v>
      </c>
      <c r="B107" s="215" t="s">
        <v>137</v>
      </c>
      <c r="C107" s="215">
        <v>3</v>
      </c>
      <c r="D107" s="215" t="s">
        <v>139</v>
      </c>
      <c r="E107" s="215">
        <v>1205008</v>
      </c>
      <c r="F107" s="216"/>
      <c r="G107" s="216"/>
      <c r="H107" s="164" t="s">
        <v>147</v>
      </c>
      <c r="I107" s="173">
        <f>+I108</f>
        <v>7245161148</v>
      </c>
      <c r="J107" s="173">
        <f>+J108</f>
        <v>6378997685</v>
      </c>
      <c r="K107" s="382">
        <f t="shared" ref="K107:K109" si="49">+J107/I107</f>
        <v>0.88044938610660151</v>
      </c>
      <c r="L107" s="173">
        <f>+L108</f>
        <v>735950000</v>
      </c>
      <c r="M107" s="173">
        <f t="shared" ref="M107:P108" si="50">+M108</f>
        <v>130213463</v>
      </c>
      <c r="N107" s="173">
        <f t="shared" si="50"/>
        <v>1731633845</v>
      </c>
      <c r="O107" s="165">
        <f t="shared" ref="O107:O109" si="51">+N107/I107</f>
        <v>0.23900556656051897</v>
      </c>
      <c r="P107" s="173">
        <f t="shared" si="50"/>
        <v>1731633845</v>
      </c>
      <c r="Q107" s="166">
        <f t="shared" ref="Q107:Q109" si="52">+P107/I107</f>
        <v>0.23900556656051897</v>
      </c>
      <c r="AW107" s="118"/>
    </row>
    <row r="108" spans="1:49" s="130" customFormat="1" ht="109.5" customHeight="1" x14ac:dyDescent="0.3">
      <c r="A108" s="214" t="s">
        <v>136</v>
      </c>
      <c r="B108" s="215" t="s">
        <v>137</v>
      </c>
      <c r="C108" s="215">
        <v>3</v>
      </c>
      <c r="D108" s="215" t="s">
        <v>139</v>
      </c>
      <c r="E108" s="215">
        <v>1205008</v>
      </c>
      <c r="F108" s="216" t="s">
        <v>45</v>
      </c>
      <c r="G108" s="216"/>
      <c r="H108" s="164" t="s">
        <v>148</v>
      </c>
      <c r="I108" s="335">
        <f>+I109</f>
        <v>7245161148</v>
      </c>
      <c r="J108" s="335">
        <f>+J109</f>
        <v>6378997685</v>
      </c>
      <c r="K108" s="388">
        <f t="shared" si="49"/>
        <v>0.88044938610660151</v>
      </c>
      <c r="L108" s="173">
        <f>+L109</f>
        <v>735950000</v>
      </c>
      <c r="M108" s="173">
        <f t="shared" si="50"/>
        <v>130213463</v>
      </c>
      <c r="N108" s="335">
        <f t="shared" si="50"/>
        <v>1731633845</v>
      </c>
      <c r="O108" s="336">
        <f t="shared" si="51"/>
        <v>0.23900556656051897</v>
      </c>
      <c r="P108" s="335">
        <f t="shared" si="50"/>
        <v>1731633845</v>
      </c>
      <c r="Q108" s="337">
        <f t="shared" si="52"/>
        <v>0.23900556656051897</v>
      </c>
    </row>
    <row r="109" spans="1:49" ht="21.6" x14ac:dyDescent="0.3">
      <c r="A109" s="210" t="s">
        <v>136</v>
      </c>
      <c r="B109" s="211" t="s">
        <v>137</v>
      </c>
      <c r="C109" s="211">
        <v>3</v>
      </c>
      <c r="D109" s="211" t="s">
        <v>139</v>
      </c>
      <c r="E109" s="211">
        <v>1205008</v>
      </c>
      <c r="F109" s="212" t="s">
        <v>45</v>
      </c>
      <c r="G109" s="212" t="s">
        <v>45</v>
      </c>
      <c r="H109" s="167" t="s">
        <v>149</v>
      </c>
      <c r="I109" s="159">
        <f>+'EJ. DESAGREGADA'!T65</f>
        <v>7245161148</v>
      </c>
      <c r="J109" s="159">
        <f>+'EJ. DESAGREGADA'!X65</f>
        <v>6378997685</v>
      </c>
      <c r="K109" s="381">
        <f t="shared" si="49"/>
        <v>0.88044938610660151</v>
      </c>
      <c r="L109" s="159">
        <f>+'EJ. DESAGREGADA'!AB65</f>
        <v>735950000</v>
      </c>
      <c r="M109" s="159">
        <f>'EJ. DESAGREGADA'!W65</f>
        <v>130213463</v>
      </c>
      <c r="N109" s="159">
        <f>+'EJ. DESAGREGADA'!Y65</f>
        <v>1731633845</v>
      </c>
      <c r="O109" s="168">
        <f t="shared" si="51"/>
        <v>0.23900556656051897</v>
      </c>
      <c r="P109" s="159">
        <f>+'EJ. DESAGREGADA'!AA65</f>
        <v>1731633845</v>
      </c>
      <c r="Q109" s="169">
        <f t="shared" si="52"/>
        <v>0.23900556656051897</v>
      </c>
      <c r="AW109" s="118"/>
    </row>
    <row r="110" spans="1:49" ht="21.6" x14ac:dyDescent="0.3">
      <c r="A110" s="214">
        <v>1205</v>
      </c>
      <c r="B110" s="215">
        <v>800</v>
      </c>
      <c r="C110" s="215">
        <v>3</v>
      </c>
      <c r="D110" s="215" t="s">
        <v>139</v>
      </c>
      <c r="E110" s="215">
        <v>1205007</v>
      </c>
      <c r="F110" s="216"/>
      <c r="G110" s="216"/>
      <c r="H110" s="164" t="s">
        <v>144</v>
      </c>
      <c r="I110" s="173">
        <f>+I111</f>
        <v>1307935310</v>
      </c>
      <c r="J110" s="173">
        <f t="shared" ref="J110:P111" si="53">+J111</f>
        <v>1290682291</v>
      </c>
      <c r="K110" s="389">
        <f t="shared" si="53"/>
        <v>0.98680896611010527</v>
      </c>
      <c r="L110" s="173">
        <f t="shared" si="53"/>
        <v>13119664</v>
      </c>
      <c r="M110" s="173">
        <f t="shared" si="53"/>
        <v>4133355</v>
      </c>
      <c r="N110" s="173">
        <f t="shared" si="53"/>
        <v>625897950</v>
      </c>
      <c r="O110" s="173">
        <f t="shared" si="53"/>
        <v>0.47853891948218752</v>
      </c>
      <c r="P110" s="173">
        <f t="shared" si="53"/>
        <v>625897950</v>
      </c>
      <c r="Q110" s="166"/>
      <c r="AW110" s="118"/>
    </row>
    <row r="111" spans="1:49" s="130" customFormat="1" ht="79.95" customHeight="1" x14ac:dyDescent="0.3">
      <c r="A111" s="214">
        <v>1205</v>
      </c>
      <c r="B111" s="215">
        <v>800</v>
      </c>
      <c r="C111" s="215">
        <v>3</v>
      </c>
      <c r="D111" s="215" t="s">
        <v>139</v>
      </c>
      <c r="E111" s="215">
        <v>125007</v>
      </c>
      <c r="F111" s="216" t="s">
        <v>45</v>
      </c>
      <c r="G111" s="216"/>
      <c r="H111" s="164" t="s">
        <v>143</v>
      </c>
      <c r="I111" s="335">
        <f>+I112</f>
        <v>1307935310</v>
      </c>
      <c r="J111" s="335">
        <f t="shared" si="53"/>
        <v>1290682291</v>
      </c>
      <c r="K111" s="390">
        <f t="shared" si="53"/>
        <v>0.98680896611010527</v>
      </c>
      <c r="L111" s="335">
        <f t="shared" si="53"/>
        <v>13119664</v>
      </c>
      <c r="M111" s="173">
        <f t="shared" si="53"/>
        <v>4133355</v>
      </c>
      <c r="N111" s="335">
        <f t="shared" si="53"/>
        <v>625897950</v>
      </c>
      <c r="O111" s="335">
        <f t="shared" si="53"/>
        <v>0.47853891948218752</v>
      </c>
      <c r="P111" s="335">
        <f t="shared" si="53"/>
        <v>625897950</v>
      </c>
      <c r="Q111" s="337"/>
    </row>
    <row r="112" spans="1:49" x14ac:dyDescent="0.3">
      <c r="A112" s="210">
        <v>1205</v>
      </c>
      <c r="B112" s="211">
        <v>800</v>
      </c>
      <c r="C112" s="211">
        <v>3</v>
      </c>
      <c r="D112" s="211" t="s">
        <v>139</v>
      </c>
      <c r="E112" s="211">
        <v>125007</v>
      </c>
      <c r="F112" s="212" t="s">
        <v>45</v>
      </c>
      <c r="G112" s="212" t="s">
        <v>57</v>
      </c>
      <c r="H112" s="167" t="s">
        <v>150</v>
      </c>
      <c r="I112" s="159">
        <f>+'EJ. DESAGREGADA'!T66</f>
        <v>1307935310</v>
      </c>
      <c r="J112" s="159">
        <f>+'EJ. DESAGREGADA'!X66</f>
        <v>1290682291</v>
      </c>
      <c r="K112" s="381">
        <f t="shared" ref="K112" si="54">+J112/I112</f>
        <v>0.98680896611010527</v>
      </c>
      <c r="L112" s="159">
        <f>+'EJ. DESAGREGADA'!AB66</f>
        <v>13119664</v>
      </c>
      <c r="M112" s="159">
        <f>'EJ. DESAGREGADA'!W66</f>
        <v>4133355</v>
      </c>
      <c r="N112" s="159">
        <f>+'EJ. DESAGREGADA'!Y66</f>
        <v>625897950</v>
      </c>
      <c r="O112" s="168">
        <f t="shared" ref="O112" si="55">+N112/I112</f>
        <v>0.47853891948218752</v>
      </c>
      <c r="P112" s="159">
        <f>+'EJ. DESAGREGADA'!AA66</f>
        <v>625897950</v>
      </c>
      <c r="Q112" s="169">
        <f t="shared" ref="Q112" si="56">+P112/I112</f>
        <v>0.47853891948218752</v>
      </c>
      <c r="AW112" s="118"/>
    </row>
    <row r="113" spans="1:49" s="222" customFormat="1" ht="24" customHeight="1" thickBot="1" x14ac:dyDescent="0.35">
      <c r="A113" s="432" t="s">
        <v>151</v>
      </c>
      <c r="B113" s="433"/>
      <c r="C113" s="433"/>
      <c r="D113" s="433"/>
      <c r="E113" s="433"/>
      <c r="F113" s="433"/>
      <c r="G113" s="434"/>
      <c r="H113" s="218" t="s">
        <v>152</v>
      </c>
      <c r="I113" s="219">
        <f>+I99</f>
        <v>12266327000</v>
      </c>
      <c r="J113" s="219">
        <f>+J99</f>
        <v>9660303276</v>
      </c>
      <c r="K113" s="391">
        <f t="shared" si="43"/>
        <v>0.78754653092160354</v>
      </c>
      <c r="L113" s="219">
        <f>+L99</f>
        <v>2405150102</v>
      </c>
      <c r="M113" s="219">
        <f>+M99</f>
        <v>200873622</v>
      </c>
      <c r="N113" s="219">
        <f>+N99</f>
        <v>2257206885</v>
      </c>
      <c r="O113" s="220">
        <f t="shared" si="44"/>
        <v>0.18401652630000814</v>
      </c>
      <c r="P113" s="219">
        <f>+P99</f>
        <v>2257206885</v>
      </c>
      <c r="Q113" s="221">
        <f t="shared" si="45"/>
        <v>0.18401652630000814</v>
      </c>
      <c r="AW113" s="223"/>
    </row>
    <row r="114" spans="1:49" ht="11.4" thickBot="1" x14ac:dyDescent="0.35">
      <c r="A114" s="224"/>
      <c r="B114" s="224"/>
      <c r="C114" s="224"/>
      <c r="D114" s="224"/>
      <c r="E114" s="224"/>
      <c r="F114" s="224"/>
      <c r="G114" s="224"/>
      <c r="H114" s="225"/>
      <c r="I114" s="129"/>
      <c r="J114" s="129"/>
      <c r="K114" s="392"/>
      <c r="L114" s="226"/>
      <c r="M114" s="226"/>
      <c r="N114" s="226"/>
      <c r="O114" s="226"/>
      <c r="P114" s="226"/>
      <c r="Q114" s="226"/>
    </row>
    <row r="115" spans="1:49" s="130" customFormat="1" ht="24" x14ac:dyDescent="0.3">
      <c r="A115" s="224"/>
      <c r="B115" s="224"/>
      <c r="C115" s="224"/>
      <c r="D115" s="224"/>
      <c r="E115" s="224"/>
      <c r="F115" s="224"/>
      <c r="G115" s="224"/>
      <c r="H115" s="426" t="s">
        <v>153</v>
      </c>
      <c r="I115" s="427"/>
      <c r="J115" s="427"/>
      <c r="K115" s="427"/>
      <c r="L115" s="427"/>
      <c r="M115" s="427"/>
      <c r="N115" s="427"/>
      <c r="O115" s="427"/>
      <c r="P115" s="427"/>
      <c r="Q115" s="428"/>
      <c r="AT115" s="131"/>
    </row>
    <row r="116" spans="1:49" s="130" customFormat="1" ht="46.5" customHeight="1" x14ac:dyDescent="0.3">
      <c r="A116" s="224"/>
      <c r="B116" s="224"/>
      <c r="C116" s="224"/>
      <c r="D116" s="224"/>
      <c r="E116" s="224"/>
      <c r="F116" s="224"/>
      <c r="G116" s="224"/>
      <c r="H116" s="227"/>
      <c r="I116" s="228" t="s">
        <v>17</v>
      </c>
      <c r="J116" s="228" t="s">
        <v>18</v>
      </c>
      <c r="K116" s="393" t="s">
        <v>19</v>
      </c>
      <c r="L116" s="228" t="s">
        <v>20</v>
      </c>
      <c r="M116" s="228" t="s">
        <v>21</v>
      </c>
      <c r="N116" s="228" t="s">
        <v>22</v>
      </c>
      <c r="O116" s="228" t="s">
        <v>23</v>
      </c>
      <c r="P116" s="228" t="s">
        <v>24</v>
      </c>
      <c r="Q116" s="244" t="s">
        <v>25</v>
      </c>
      <c r="AW116" s="131"/>
    </row>
    <row r="117" spans="1:49" s="130" customFormat="1" x14ac:dyDescent="0.3">
      <c r="A117" s="224"/>
      <c r="B117" s="224"/>
      <c r="C117" s="224"/>
      <c r="D117" s="224"/>
      <c r="E117" s="224"/>
      <c r="F117" s="224"/>
      <c r="G117" s="224"/>
      <c r="H117" s="229" t="s">
        <v>26</v>
      </c>
      <c r="I117" s="145">
        <f>+I8-I36</f>
        <v>58386800000</v>
      </c>
      <c r="J117" s="145">
        <f>+J8</f>
        <v>33378120537.650002</v>
      </c>
      <c r="K117" s="384">
        <f>+J117/I117</f>
        <v>0.57167237350993716</v>
      </c>
      <c r="L117" s="145">
        <f>+L8</f>
        <v>25008679462.349998</v>
      </c>
      <c r="M117" s="157">
        <f>+M8</f>
        <v>0</v>
      </c>
      <c r="N117" s="145">
        <f>+N8</f>
        <v>33344571609.650002</v>
      </c>
      <c r="O117" s="147">
        <f>+N117/I117</f>
        <v>0.57109777568988196</v>
      </c>
      <c r="P117" s="145">
        <f>+P8</f>
        <v>32839895430.650002</v>
      </c>
      <c r="Q117" s="148">
        <f>+P117/I117</f>
        <v>0.56245410659001693</v>
      </c>
      <c r="AW117" s="131"/>
    </row>
    <row r="118" spans="1:49" s="130" customFormat="1" x14ac:dyDescent="0.3">
      <c r="A118" s="224"/>
      <c r="B118" s="224"/>
      <c r="C118" s="224"/>
      <c r="D118" s="224"/>
      <c r="E118" s="224"/>
      <c r="F118" s="224"/>
      <c r="G118" s="224"/>
      <c r="H118" s="229" t="s">
        <v>154</v>
      </c>
      <c r="I118" s="145">
        <f>+I37</f>
        <v>23776000000</v>
      </c>
      <c r="J118" s="145">
        <f>+J37</f>
        <v>16222244509.23</v>
      </c>
      <c r="K118" s="384">
        <f t="shared" ref="K118:K120" si="57">+J118/I118</f>
        <v>0.682294940664115</v>
      </c>
      <c r="L118" s="145">
        <f>+L37</f>
        <v>2875696132.7599998</v>
      </c>
      <c r="M118" s="157">
        <f>+M37</f>
        <v>6756098121.0100002</v>
      </c>
      <c r="N118" s="145">
        <f>+N37</f>
        <v>10299976669.77</v>
      </c>
      <c r="O118" s="147">
        <f t="shared" ref="O118:O120" si="58">+N118/I118</f>
        <v>0.43320897837188765</v>
      </c>
      <c r="P118" s="145">
        <f>+P37</f>
        <v>10296273380.77</v>
      </c>
      <c r="Q118" s="148">
        <f t="shared" ref="Q118:Q120" si="59">+P118/I118</f>
        <v>0.43305322092740578</v>
      </c>
      <c r="AW118" s="131"/>
    </row>
    <row r="119" spans="1:49" s="130" customFormat="1" x14ac:dyDescent="0.3">
      <c r="A119" s="224"/>
      <c r="B119" s="224"/>
      <c r="C119" s="224"/>
      <c r="D119" s="224"/>
      <c r="E119" s="224"/>
      <c r="F119" s="224"/>
      <c r="G119" s="224"/>
      <c r="H119" s="229" t="s">
        <v>116</v>
      </c>
      <c r="I119" s="145">
        <f>+I83-I87</f>
        <v>104679345544</v>
      </c>
      <c r="J119" s="145">
        <f>+J83</f>
        <v>53242960276.240005</v>
      </c>
      <c r="K119" s="384">
        <f t="shared" si="57"/>
        <v>0.50862909009934842</v>
      </c>
      <c r="L119" s="145">
        <f>+L83</f>
        <v>17734075635.599998</v>
      </c>
      <c r="M119" s="157">
        <f>+M83</f>
        <v>33702309631.959999</v>
      </c>
      <c r="N119" s="145">
        <f>+N83</f>
        <v>30633348964.899998</v>
      </c>
      <c r="O119" s="147">
        <f t="shared" si="58"/>
        <v>0.29263985942693771</v>
      </c>
      <c r="P119" s="145">
        <f>+P83</f>
        <v>30633348964.899998</v>
      </c>
      <c r="Q119" s="148">
        <f t="shared" si="59"/>
        <v>0.29263985942693771</v>
      </c>
      <c r="AW119" s="131"/>
    </row>
    <row r="120" spans="1:49" s="130" customFormat="1" x14ac:dyDescent="0.3">
      <c r="A120" s="224"/>
      <c r="B120" s="224"/>
      <c r="C120" s="224"/>
      <c r="D120" s="224"/>
      <c r="E120" s="224"/>
      <c r="F120" s="224"/>
      <c r="G120" s="224"/>
      <c r="H120" s="229" t="s">
        <v>155</v>
      </c>
      <c r="I120" s="145">
        <f>+I95</f>
        <v>299100000</v>
      </c>
      <c r="J120" s="145">
        <f>+J95</f>
        <v>0</v>
      </c>
      <c r="K120" s="384">
        <f t="shared" si="57"/>
        <v>0</v>
      </c>
      <c r="L120" s="145">
        <f>+L95</f>
        <v>0</v>
      </c>
      <c r="M120" s="157">
        <f>+M95</f>
        <v>299100000</v>
      </c>
      <c r="N120" s="145">
        <f>+N95</f>
        <v>0</v>
      </c>
      <c r="O120" s="147">
        <f t="shared" si="58"/>
        <v>0</v>
      </c>
      <c r="P120" s="145">
        <f>+P95</f>
        <v>0</v>
      </c>
      <c r="Q120" s="148">
        <f t="shared" si="59"/>
        <v>0</v>
      </c>
      <c r="AW120" s="131"/>
    </row>
    <row r="121" spans="1:49" s="130" customFormat="1" x14ac:dyDescent="0.3">
      <c r="A121" s="224"/>
      <c r="B121" s="224"/>
      <c r="C121" s="224"/>
      <c r="D121" s="224"/>
      <c r="E121" s="224"/>
      <c r="F121" s="224"/>
      <c r="G121" s="224"/>
      <c r="H121" s="230" t="s">
        <v>135</v>
      </c>
      <c r="I121" s="231">
        <f>SUM(I117:I120)</f>
        <v>187141245544</v>
      </c>
      <c r="J121" s="231">
        <f>SUM(J117:J120)</f>
        <v>102843325323.12001</v>
      </c>
      <c r="K121" s="394">
        <f>+J121/I121</f>
        <v>0.54954921895579589</v>
      </c>
      <c r="L121" s="231">
        <f>SUM(L117:L120)</f>
        <v>45618451230.709991</v>
      </c>
      <c r="M121" s="231">
        <f t="shared" ref="M121:P121" si="60">SUM(M117:M120)</f>
        <v>40757507752.970001</v>
      </c>
      <c r="N121" s="231">
        <f t="shared" si="60"/>
        <v>74277897244.319992</v>
      </c>
      <c r="O121" s="232">
        <f>+N121/I121</f>
        <v>0.39690821244884805</v>
      </c>
      <c r="P121" s="231">
        <f t="shared" si="60"/>
        <v>73769517776.319992</v>
      </c>
      <c r="Q121" s="245">
        <f>+P121/I121</f>
        <v>0.3941916575465752</v>
      </c>
      <c r="AW121" s="131"/>
    </row>
    <row r="122" spans="1:49" x14ac:dyDescent="0.3">
      <c r="A122" s="224"/>
      <c r="B122" s="224"/>
      <c r="C122" s="224"/>
      <c r="D122" s="224"/>
      <c r="E122" s="224"/>
      <c r="F122" s="224"/>
      <c r="G122" s="224"/>
      <c r="H122" s="230" t="s">
        <v>156</v>
      </c>
      <c r="I122" s="231">
        <f>+I113</f>
        <v>12266327000</v>
      </c>
      <c r="J122" s="231">
        <f>+J113</f>
        <v>9660303276</v>
      </c>
      <c r="K122" s="394">
        <f>+J122/I122</f>
        <v>0.78754653092160354</v>
      </c>
      <c r="L122" s="231">
        <f>+L113</f>
        <v>2405150102</v>
      </c>
      <c r="M122" s="231">
        <f t="shared" ref="M122:P122" si="61">+M113</f>
        <v>200873622</v>
      </c>
      <c r="N122" s="231">
        <f t="shared" si="61"/>
        <v>2257206885</v>
      </c>
      <c r="O122" s="232">
        <f>+N122/I122</f>
        <v>0.18401652630000814</v>
      </c>
      <c r="P122" s="231">
        <f t="shared" si="61"/>
        <v>2257206885</v>
      </c>
      <c r="Q122" s="245">
        <f>+P122/I122</f>
        <v>0.18401652630000814</v>
      </c>
    </row>
    <row r="123" spans="1:49" ht="14.4" thickBot="1" x14ac:dyDescent="0.35">
      <c r="A123" s="224"/>
      <c r="B123" s="224"/>
      <c r="C123" s="224"/>
      <c r="D123" s="224"/>
      <c r="E123" s="224"/>
      <c r="F123" s="224"/>
      <c r="G123" s="224"/>
      <c r="H123" s="251" t="s">
        <v>157</v>
      </c>
      <c r="I123" s="219">
        <f>+I121+I122</f>
        <v>199407572544</v>
      </c>
      <c r="J123" s="219">
        <f t="shared" ref="J123:P123" si="62">+J121+J122</f>
        <v>112503628599.12001</v>
      </c>
      <c r="K123" s="391">
        <f>+J123/I123</f>
        <v>0.56418934930014097</v>
      </c>
      <c r="L123" s="219">
        <f>+L121+L122</f>
        <v>48023601332.709991</v>
      </c>
      <c r="M123" s="219">
        <f t="shared" si="62"/>
        <v>40958381374.970001</v>
      </c>
      <c r="N123" s="219">
        <f t="shared" si="62"/>
        <v>76535104129.319992</v>
      </c>
      <c r="O123" s="220">
        <f>+N123/I123</f>
        <v>0.38381242574141583</v>
      </c>
      <c r="P123" s="219">
        <f t="shared" si="62"/>
        <v>76026724661.319992</v>
      </c>
      <c r="Q123" s="220">
        <f>+P123/I123</f>
        <v>0.38126297658302027</v>
      </c>
    </row>
    <row r="124" spans="1:49" x14ac:dyDescent="0.3">
      <c r="A124" s="429" t="s">
        <v>158</v>
      </c>
      <c r="B124" s="429"/>
      <c r="C124" s="429"/>
      <c r="D124" s="429"/>
      <c r="E124" s="429"/>
      <c r="F124" s="429"/>
      <c r="G124" s="224"/>
      <c r="H124" s="233"/>
      <c r="I124" s="177"/>
      <c r="J124" s="177"/>
      <c r="K124" s="395"/>
      <c r="L124" s="177"/>
      <c r="M124" s="129"/>
      <c r="N124" s="177"/>
      <c r="O124" s="177"/>
      <c r="P124" s="177"/>
      <c r="Q124" s="177"/>
    </row>
    <row r="125" spans="1:49" x14ac:dyDescent="0.3">
      <c r="B125" s="224"/>
      <c r="C125" s="224"/>
      <c r="D125" s="224"/>
      <c r="E125" s="224"/>
      <c r="F125" s="224"/>
      <c r="G125" s="224"/>
      <c r="H125" s="233"/>
      <c r="I125" s="234"/>
      <c r="J125" s="177"/>
      <c r="K125" s="395"/>
      <c r="L125" s="177"/>
      <c r="M125" s="129"/>
      <c r="N125" s="177"/>
      <c r="O125" s="177"/>
      <c r="P125" s="177"/>
      <c r="Q125" s="177"/>
      <c r="AV125" s="123"/>
      <c r="AW125" s="118"/>
    </row>
    <row r="126" spans="1:49" x14ac:dyDescent="0.3">
      <c r="A126" s="224"/>
      <c r="B126" s="224"/>
      <c r="C126" s="224"/>
      <c r="D126" s="224"/>
      <c r="E126" s="224"/>
      <c r="F126" s="224"/>
      <c r="G126" s="224"/>
      <c r="H126" s="233"/>
      <c r="I126" s="177"/>
      <c r="J126" s="177"/>
      <c r="K126" s="395"/>
      <c r="L126" s="177"/>
      <c r="M126" s="129"/>
      <c r="N126" s="177"/>
      <c r="O126" s="177"/>
      <c r="P126" s="177"/>
      <c r="Q126" s="177"/>
    </row>
    <row r="127" spans="1:49" x14ac:dyDescent="0.3">
      <c r="A127" s="224"/>
      <c r="B127" s="224"/>
      <c r="C127" s="224"/>
      <c r="D127" s="224"/>
      <c r="E127" s="224"/>
      <c r="F127" s="224"/>
      <c r="G127" s="224"/>
      <c r="H127" s="233"/>
      <c r="I127" s="177"/>
      <c r="J127" s="177"/>
      <c r="K127" s="395"/>
      <c r="L127" s="177"/>
      <c r="M127" s="129"/>
      <c r="N127" s="177"/>
      <c r="O127" s="177"/>
      <c r="P127" s="177"/>
      <c r="Q127" s="177"/>
      <c r="AW127" s="118"/>
    </row>
    <row r="128" spans="1:49" x14ac:dyDescent="0.3">
      <c r="A128" s="224"/>
      <c r="B128" s="224"/>
      <c r="C128" s="224"/>
      <c r="D128" s="224"/>
      <c r="E128" s="224"/>
      <c r="F128" s="224"/>
      <c r="G128" s="224"/>
      <c r="H128" s="233"/>
      <c r="I128" s="177"/>
      <c r="J128" s="177"/>
      <c r="K128" s="395"/>
      <c r="L128" s="177"/>
      <c r="M128" s="129"/>
      <c r="N128" s="177"/>
      <c r="O128" s="177"/>
      <c r="P128" s="177"/>
      <c r="Q128" s="177"/>
      <c r="AW128" s="118"/>
    </row>
    <row r="129" spans="1:49" x14ac:dyDescent="0.3">
      <c r="A129" s="224"/>
      <c r="B129" s="224"/>
      <c r="C129" s="224"/>
      <c r="D129" s="224"/>
      <c r="E129" s="224"/>
      <c r="F129" s="224"/>
      <c r="G129" s="224"/>
      <c r="H129" s="233"/>
      <c r="I129" s="177"/>
      <c r="J129" s="177"/>
      <c r="K129" s="395"/>
      <c r="L129" s="177"/>
      <c r="M129" s="129"/>
      <c r="N129" s="177"/>
      <c r="O129" s="177"/>
      <c r="P129" s="177"/>
      <c r="Q129" s="177"/>
      <c r="AW129" s="118"/>
    </row>
    <row r="130" spans="1:49" x14ac:dyDescent="0.3">
      <c r="A130" s="224"/>
      <c r="B130" s="224"/>
      <c r="C130" s="224"/>
      <c r="D130" s="224"/>
      <c r="E130" s="224"/>
      <c r="F130" s="224"/>
      <c r="G130" s="224"/>
      <c r="H130" s="233"/>
      <c r="I130" s="177"/>
      <c r="J130" s="177"/>
      <c r="K130" s="395"/>
      <c r="L130" s="177"/>
      <c r="M130" s="129"/>
      <c r="N130" s="177"/>
      <c r="O130" s="177"/>
      <c r="P130" s="177"/>
      <c r="Q130" s="177"/>
      <c r="AV130" s="123"/>
      <c r="AW130" s="118"/>
    </row>
    <row r="131" spans="1:49" x14ac:dyDescent="0.3">
      <c r="A131" s="224"/>
      <c r="B131" s="224"/>
      <c r="C131" s="224"/>
      <c r="D131" s="224"/>
      <c r="E131" s="224"/>
      <c r="F131" s="224"/>
      <c r="G131" s="224"/>
      <c r="H131" s="233"/>
      <c r="I131" s="177"/>
      <c r="J131" s="177"/>
      <c r="K131" s="395"/>
      <c r="L131" s="177"/>
      <c r="M131" s="129"/>
      <c r="N131" s="177"/>
      <c r="O131" s="177"/>
      <c r="P131" s="177"/>
      <c r="Q131" s="177"/>
    </row>
    <row r="132" spans="1:49" x14ac:dyDescent="0.3">
      <c r="I132" s="118"/>
      <c r="J132" s="118"/>
      <c r="K132" s="396"/>
      <c r="L132" s="235"/>
      <c r="N132" s="118"/>
      <c r="O132" s="118"/>
      <c r="P132" s="118"/>
      <c r="Q132" s="118"/>
    </row>
    <row r="133" spans="1:49" x14ac:dyDescent="0.3">
      <c r="A133" s="419"/>
      <c r="B133" s="419"/>
      <c r="C133" s="419"/>
      <c r="D133" s="419"/>
      <c r="E133" s="419"/>
      <c r="F133" s="419"/>
      <c r="G133" s="419"/>
      <c r="H133" s="420"/>
      <c r="I133" s="421"/>
      <c r="J133" s="421"/>
      <c r="K133" s="421"/>
      <c r="L133" s="421"/>
      <c r="M133" s="421"/>
      <c r="N133" s="422"/>
      <c r="O133" s="422"/>
      <c r="P133" s="423"/>
      <c r="Q133" s="423"/>
    </row>
    <row r="134" spans="1:49" ht="15" x14ac:dyDescent="0.3">
      <c r="A134" s="418" t="s">
        <v>159</v>
      </c>
      <c r="B134" s="418"/>
      <c r="C134" s="418"/>
      <c r="D134" s="418"/>
      <c r="E134" s="418"/>
      <c r="F134" s="418"/>
      <c r="G134" s="418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</row>
    <row r="136" spans="1:49" x14ac:dyDescent="0.3">
      <c r="I136" s="236"/>
      <c r="J136" s="236"/>
      <c r="K136" s="397"/>
      <c r="L136" s="237"/>
      <c r="M136" s="345"/>
    </row>
    <row r="137" spans="1:49" x14ac:dyDescent="0.3">
      <c r="H137" s="238"/>
      <c r="I137" s="236"/>
      <c r="J137" s="236"/>
      <c r="K137" s="397"/>
      <c r="L137" s="236"/>
      <c r="M137" s="345"/>
    </row>
    <row r="139" spans="1:49" x14ac:dyDescent="0.3">
      <c r="H139" s="238"/>
      <c r="I139" s="236"/>
      <c r="J139" s="236"/>
      <c r="K139" s="397"/>
      <c r="L139" s="236"/>
      <c r="M139" s="345"/>
    </row>
    <row r="140" spans="1:49" x14ac:dyDescent="0.3">
      <c r="H140" s="238"/>
      <c r="I140" s="236"/>
      <c r="J140" s="236"/>
      <c r="K140" s="397"/>
      <c r="L140" s="236"/>
      <c r="M140" s="345"/>
    </row>
    <row r="141" spans="1:49" x14ac:dyDescent="0.3">
      <c r="H141" s="239"/>
      <c r="J141" s="236"/>
      <c r="K141" s="397"/>
      <c r="L141" s="236"/>
      <c r="M141" s="345"/>
    </row>
    <row r="142" spans="1:49" x14ac:dyDescent="0.3">
      <c r="H142" s="239"/>
      <c r="J142" s="236"/>
      <c r="K142" s="397"/>
    </row>
    <row r="150" spans="2:7" x14ac:dyDescent="0.3">
      <c r="B150" s="240"/>
      <c r="C150" s="240"/>
      <c r="D150" s="240"/>
      <c r="E150" s="240"/>
      <c r="F150" s="240"/>
      <c r="G150" s="240"/>
    </row>
    <row r="151" spans="2:7" x14ac:dyDescent="0.3">
      <c r="B151" s="240"/>
      <c r="C151" s="240"/>
      <c r="D151" s="240"/>
      <c r="E151" s="240"/>
      <c r="F151" s="241"/>
      <c r="G151" s="241"/>
    </row>
    <row r="152" spans="2:7" x14ac:dyDescent="0.3">
      <c r="B152" s="242"/>
      <c r="C152" s="242"/>
      <c r="D152" s="241"/>
      <c r="E152" s="241"/>
      <c r="F152" s="243"/>
      <c r="G152" s="243"/>
    </row>
    <row r="153" spans="2:7" x14ac:dyDescent="0.3">
      <c r="B153" s="242"/>
      <c r="C153" s="240"/>
      <c r="D153" s="243"/>
      <c r="E153" s="243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4:Q134"/>
    <mergeCell ref="A133:Q133"/>
    <mergeCell ref="M6:M7"/>
    <mergeCell ref="H115:Q115"/>
    <mergeCell ref="A124:F124"/>
    <mergeCell ref="D6:D7"/>
    <mergeCell ref="E6:E7"/>
    <mergeCell ref="F6:F7"/>
    <mergeCell ref="G6:G7"/>
    <mergeCell ref="A113:G113"/>
    <mergeCell ref="A98:G98"/>
  </mergeCells>
  <printOptions horizontalCentered="1"/>
  <pageMargins left="0.62992125984251968" right="0" top="0.27559055118110237" bottom="0.35433070866141736" header="0.98425196850393704" footer="0"/>
  <pageSetup scale="47" fitToHeight="0" orientation="landscape" r:id="rId1"/>
  <headerFooter alignWithMargins="0">
    <oddFooter>&amp;LGF-F-17 Versión 002.</oddFooter>
  </headerFooter>
  <ignoredErrors>
    <ignoredError sqref="A95:C97 A83:D86 A9:E35 A99:B100 C93 A88:D91 A105:C105 A103:C103 A104:C104 A106:C106 A101:C101 E101:G101 A102:C102 E102:G102 E103:G103 E104 E105:G105 E106:F106 A107:C107 E107:G107 A108:C108 E108:G108 A109:C109 E109:G109" numberStoredAsText="1"/>
    <ignoredError sqref="K8:K15 K88:K89 O88:O89 Q88:Q89 O43:O44 Q43:Q45 K56 O56 Q56 K66 O66 Q66 K61 O61 Q61 K70 O70 Q70 K77 O77 Q77 K83:K85 Q83:Q85 O81 O83:O85 Q95:Q96 O8:O35 Q37 Q81 Q92:Q93 O98:O99 K98:K99 Q113 K113 O113 N102:O102 J102:K102 K48 K86 K117:K123 O117:O123 Q117:Q122 I101:P101 O86 I104:Q105 O48 K92:K96 K43:K45 O92:O96 K103 O103 Q98:Q103 K106:K109 O106:O109 Q106:Q109 K100 K37 K17:K35 Q8:Q35 Q86 O10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abSelected="1" topLeftCell="A22" zoomScale="96" zoomScaleNormal="96" workbookViewId="0">
      <selection activeCell="K41" sqref="K41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2" style="26" customWidth="1"/>
    <col min="13" max="13" width="25.5546875" style="26" customWidth="1"/>
    <col min="14" max="14" width="23.109375" style="27" customWidth="1"/>
    <col min="15" max="15" width="14" style="95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62" customFormat="1" ht="27" customHeight="1" x14ac:dyDescent="0.3">
      <c r="A2" s="455" t="s">
        <v>1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261"/>
      <c r="S2" s="263"/>
    </row>
    <row r="3" spans="1:19" s="262" customFormat="1" ht="27" customHeight="1" x14ac:dyDescent="0.3">
      <c r="A3" s="455" t="str">
        <f>+'EJECUCION AGENCIA'!A4:M4</f>
        <v>CON CORTE A: 31 DE AGOSTO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261"/>
      <c r="S3" s="263"/>
    </row>
    <row r="4" spans="1:19" s="262" customFormat="1" ht="27" customHeight="1" x14ac:dyDescent="0.3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S4" s="263"/>
    </row>
    <row r="5" spans="1:19" ht="17.25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3"/>
    </row>
    <row r="6" spans="1:19" ht="12" customHeight="1" x14ac:dyDescent="0.3">
      <c r="A6" s="456" t="s">
        <v>0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8"/>
    </row>
    <row r="7" spans="1:19" ht="20.25" customHeight="1" thickBot="1" x14ac:dyDescent="0.35">
      <c r="A7" s="459"/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1"/>
      <c r="P7" s="26"/>
    </row>
    <row r="8" spans="1:19" ht="18" customHeight="1" x14ac:dyDescent="0.3">
      <c r="A8" s="472" t="s">
        <v>9</v>
      </c>
      <c r="B8" s="474" t="s">
        <v>10</v>
      </c>
      <c r="C8" s="474" t="s">
        <v>11</v>
      </c>
      <c r="D8" s="474" t="s">
        <v>12</v>
      </c>
      <c r="E8" s="474" t="s">
        <v>13</v>
      </c>
      <c r="F8" s="474" t="s">
        <v>14</v>
      </c>
      <c r="G8" s="474" t="s">
        <v>15</v>
      </c>
      <c r="H8" s="480" t="s">
        <v>160</v>
      </c>
      <c r="I8" s="480" t="s">
        <v>161</v>
      </c>
      <c r="J8" s="486" t="s">
        <v>162</v>
      </c>
      <c r="K8" s="486" t="s">
        <v>163</v>
      </c>
      <c r="L8" s="482" t="s">
        <v>22</v>
      </c>
      <c r="M8" s="482" t="s">
        <v>24</v>
      </c>
      <c r="N8" s="482" t="s">
        <v>164</v>
      </c>
      <c r="O8" s="484" t="s">
        <v>165</v>
      </c>
      <c r="P8" s="476" t="s">
        <v>166</v>
      </c>
      <c r="Q8" s="478" t="s">
        <v>167</v>
      </c>
    </row>
    <row r="9" spans="1:19" ht="18" customHeight="1" x14ac:dyDescent="0.3">
      <c r="A9" s="473"/>
      <c r="B9" s="475"/>
      <c r="C9" s="475"/>
      <c r="D9" s="475"/>
      <c r="E9" s="475"/>
      <c r="F9" s="475"/>
      <c r="G9" s="475"/>
      <c r="H9" s="481"/>
      <c r="I9" s="481"/>
      <c r="J9" s="487"/>
      <c r="K9" s="487"/>
      <c r="L9" s="483"/>
      <c r="M9" s="483"/>
      <c r="N9" s="483"/>
      <c r="O9" s="485"/>
      <c r="P9" s="477"/>
      <c r="Q9" s="479"/>
    </row>
    <row r="10" spans="1:19" ht="26.25" customHeight="1" x14ac:dyDescent="0.3">
      <c r="A10" s="83">
        <v>1</v>
      </c>
      <c r="B10" s="78"/>
      <c r="C10" s="76"/>
      <c r="D10" s="76"/>
      <c r="E10" s="76"/>
      <c r="F10" s="76"/>
      <c r="G10" s="77"/>
      <c r="H10" s="70" t="s">
        <v>26</v>
      </c>
      <c r="I10" s="72">
        <f>SUM(I11:I14)</f>
        <v>66681300000</v>
      </c>
      <c r="J10" s="72">
        <f t="shared" ref="J10:M10" si="0">SUM(J11:J13)</f>
        <v>33378120537.650002</v>
      </c>
      <c r="K10" s="72">
        <f t="shared" si="0"/>
        <v>25008679462.349998</v>
      </c>
      <c r="L10" s="72">
        <f t="shared" si="0"/>
        <v>33344571609.650002</v>
      </c>
      <c r="M10" s="72">
        <f t="shared" si="0"/>
        <v>32839895430.650002</v>
      </c>
      <c r="N10" s="72">
        <f>SUM(N11:N13)</f>
        <v>0</v>
      </c>
      <c r="O10" s="67">
        <f>+J10/I10</f>
        <v>0.50056193472007893</v>
      </c>
      <c r="P10" s="252">
        <f t="shared" ref="P10:P15" si="1">+L10/I10</f>
        <v>0.50005881123568374</v>
      </c>
      <c r="Q10" s="67">
        <f t="shared" ref="Q10:Q15" si="2">+M10/I10</f>
        <v>0.4924903298323518</v>
      </c>
    </row>
    <row r="11" spans="1:19" ht="26.25" customHeight="1" x14ac:dyDescent="0.3">
      <c r="A11" s="45" t="s">
        <v>27</v>
      </c>
      <c r="B11" s="30" t="s">
        <v>27</v>
      </c>
      <c r="C11" s="30" t="s">
        <v>27</v>
      </c>
      <c r="D11" s="30"/>
      <c r="E11" s="30"/>
      <c r="F11" s="30"/>
      <c r="G11" s="35"/>
      <c r="H11" s="36" t="s">
        <v>29</v>
      </c>
      <c r="I11" s="33">
        <f>+'EJECUCION AGENCIA'!I10</f>
        <v>40005200000</v>
      </c>
      <c r="J11" s="32">
        <f>+'EJECUCION AGENCIA'!J10</f>
        <v>22928157591</v>
      </c>
      <c r="K11" s="32">
        <f>+'EJECUCION AGENCIA'!L10</f>
        <v>17077042409</v>
      </c>
      <c r="L11" s="33">
        <f>+'EJECUCION AGENCIA'!N10</f>
        <v>22897626525</v>
      </c>
      <c r="M11" s="33">
        <f>+'EJECUCION AGENCIA'!P10</f>
        <v>22897626525</v>
      </c>
      <c r="N11" s="37">
        <f>+'EJECUCION AGENCIA'!M10</f>
        <v>0</v>
      </c>
      <c r="O11" s="264">
        <f>+J11/I11</f>
        <v>0.57312943294871666</v>
      </c>
      <c r="P11" s="253">
        <f t="shared" si="1"/>
        <v>0.57236625551178344</v>
      </c>
      <c r="Q11" s="38">
        <f t="shared" si="2"/>
        <v>0.57236625551178344</v>
      </c>
      <c r="R11" s="26"/>
    </row>
    <row r="12" spans="1:19" ht="26.25" customHeight="1" x14ac:dyDescent="0.3">
      <c r="A12" s="45" t="s">
        <v>27</v>
      </c>
      <c r="B12" s="30" t="s">
        <v>27</v>
      </c>
      <c r="C12" s="30" t="s">
        <v>45</v>
      </c>
      <c r="D12" s="35"/>
      <c r="E12" s="35"/>
      <c r="F12" s="35"/>
      <c r="G12" s="35"/>
      <c r="H12" s="39" t="s">
        <v>46</v>
      </c>
      <c r="I12" s="33">
        <f>+'EJECUCION AGENCIA'!I19</f>
        <v>13920200000</v>
      </c>
      <c r="J12" s="32">
        <f>+'EJECUCION AGENCIA'!J19</f>
        <v>8485064271.6499996</v>
      </c>
      <c r="K12" s="32">
        <f>+'EJECUCION AGENCIA'!L19</f>
        <v>5435135728.3500004</v>
      </c>
      <c r="L12" s="33">
        <f>+'EJECUCION AGENCIA'!N19</f>
        <v>8485064271.6499996</v>
      </c>
      <c r="M12" s="33">
        <f>+'EJECUCION AGENCIA'!P19</f>
        <v>7980388092.6499996</v>
      </c>
      <c r="N12" s="37">
        <f>+'EJECUCION AGENCIA'!M19</f>
        <v>0</v>
      </c>
      <c r="O12" s="264">
        <f>+J12/I12</f>
        <v>0.60955045700851995</v>
      </c>
      <c r="P12" s="253">
        <f t="shared" si="1"/>
        <v>0.60955045700851995</v>
      </c>
      <c r="Q12" s="38">
        <f t="shared" si="2"/>
        <v>0.57329550528368844</v>
      </c>
      <c r="R12" s="26"/>
    </row>
    <row r="13" spans="1:19" ht="26.25" customHeight="1" x14ac:dyDescent="0.3">
      <c r="A13" s="45" t="s">
        <v>27</v>
      </c>
      <c r="B13" s="30" t="s">
        <v>27</v>
      </c>
      <c r="C13" s="30" t="s">
        <v>57</v>
      </c>
      <c r="D13" s="35"/>
      <c r="E13" s="35"/>
      <c r="F13" s="35"/>
      <c r="G13" s="35"/>
      <c r="H13" s="39" t="s">
        <v>58</v>
      </c>
      <c r="I13" s="33">
        <f>+'EJECUCION AGENCIA'!I27</f>
        <v>4461400000</v>
      </c>
      <c r="J13" s="32">
        <f>+'EJECUCION AGENCIA'!J27</f>
        <v>1964898675</v>
      </c>
      <c r="K13" s="32">
        <f>+'EJECUCION AGENCIA'!L27</f>
        <v>2496501325</v>
      </c>
      <c r="L13" s="33">
        <f>+'EJECUCION AGENCIA'!N27</f>
        <v>1961880813</v>
      </c>
      <c r="M13" s="32">
        <f>+'EJECUCION AGENCIA'!P27</f>
        <v>1961880813</v>
      </c>
      <c r="N13" s="37">
        <f>+'EJECUCION AGENCIA'!M27</f>
        <v>0</v>
      </c>
      <c r="O13" s="264">
        <f>+J13/I13</f>
        <v>0.44042199197561305</v>
      </c>
      <c r="P13" s="253">
        <f t="shared" si="1"/>
        <v>0.43974555363787154</v>
      </c>
      <c r="Q13" s="38">
        <f t="shared" si="2"/>
        <v>0.43974555363787154</v>
      </c>
      <c r="R13" s="26"/>
    </row>
    <row r="14" spans="1:19" ht="26.25" customHeight="1" x14ac:dyDescent="0.3">
      <c r="A14" s="45" t="s">
        <v>27</v>
      </c>
      <c r="B14" s="30" t="s">
        <v>27</v>
      </c>
      <c r="C14" s="399" t="s">
        <v>121</v>
      </c>
      <c r="D14" s="35"/>
      <c r="E14" s="35"/>
      <c r="F14" s="35"/>
      <c r="G14" s="35"/>
      <c r="H14" s="39" t="s">
        <v>70</v>
      </c>
      <c r="I14" s="33">
        <f>+'EJECUCION AGENCIA'!I36</f>
        <v>8294500000</v>
      </c>
      <c r="J14" s="32"/>
      <c r="K14" s="32"/>
      <c r="L14" s="33"/>
      <c r="M14" s="32"/>
      <c r="N14" s="37"/>
      <c r="O14" s="264"/>
      <c r="P14" s="253"/>
      <c r="Q14" s="38"/>
      <c r="R14" s="26"/>
    </row>
    <row r="15" spans="1:19" s="23" customFormat="1" ht="26.25" customHeight="1" x14ac:dyDescent="0.3">
      <c r="A15" s="84" t="s">
        <v>45</v>
      </c>
      <c r="B15" s="79"/>
      <c r="C15" s="79"/>
      <c r="D15" s="79"/>
      <c r="E15" s="79"/>
      <c r="F15" s="79"/>
      <c r="G15" s="80"/>
      <c r="H15" s="70" t="s">
        <v>71</v>
      </c>
      <c r="I15" s="68">
        <f>SUM(I16:I17)+56000000</f>
        <v>23832000000</v>
      </c>
      <c r="J15" s="68">
        <f>SUM(J16:J17)</f>
        <v>16222244509.23</v>
      </c>
      <c r="K15" s="68">
        <f>SUM(K16:K17)</f>
        <v>2875696132.7599998</v>
      </c>
      <c r="L15" s="68">
        <f t="shared" ref="L15:M15" si="3">SUM(L16:L17)</f>
        <v>10299976669.77</v>
      </c>
      <c r="M15" s="68">
        <f t="shared" si="3"/>
        <v>10296273380.77</v>
      </c>
      <c r="N15" s="68">
        <f>SUM(N16:N17)+56000000</f>
        <v>6812098121.0100002</v>
      </c>
      <c r="O15" s="67">
        <f>+J15/I15</f>
        <v>0.68069169642623362</v>
      </c>
      <c r="P15" s="252">
        <f t="shared" si="1"/>
        <v>0.43219103179632429</v>
      </c>
      <c r="Q15" s="67">
        <f t="shared" si="2"/>
        <v>0.43203564034785163</v>
      </c>
      <c r="S15" s="287"/>
    </row>
    <row r="16" spans="1:19" ht="26.25" customHeight="1" x14ac:dyDescent="0.3">
      <c r="A16" s="41">
        <v>2</v>
      </c>
      <c r="B16" s="35">
        <v>1</v>
      </c>
      <c r="C16" s="35"/>
      <c r="D16" s="35"/>
      <c r="E16" s="35"/>
      <c r="F16" s="35"/>
      <c r="G16" s="35"/>
      <c r="H16" s="73" t="s">
        <v>168</v>
      </c>
      <c r="I16" s="33">
        <f>'EJECUCION AGENCIA'!I38</f>
        <v>70000000</v>
      </c>
      <c r="J16" s="32">
        <f>'EJECUCION AGENCIA'!J38</f>
        <v>0</v>
      </c>
      <c r="K16" s="32">
        <f>'EJECUCION AGENCIA'!L38</f>
        <v>70000000</v>
      </c>
      <c r="L16" s="32">
        <f>'EJECUCION AGENCIA'!N38</f>
        <v>0</v>
      </c>
      <c r="M16" s="32">
        <f>+'EJECUCION AGENCIA'!M40</f>
        <v>0</v>
      </c>
      <c r="N16" s="32">
        <f>'EJECUCION AGENCIA'!M38</f>
        <v>0</v>
      </c>
      <c r="O16" s="264"/>
      <c r="P16" s="253"/>
      <c r="Q16" s="38"/>
      <c r="R16" s="26"/>
    </row>
    <row r="17" spans="1:19" ht="26.25" customHeight="1" x14ac:dyDescent="0.3">
      <c r="A17" s="41" t="s">
        <v>45</v>
      </c>
      <c r="B17" s="35" t="s">
        <v>45</v>
      </c>
      <c r="C17" s="35">
        <v>1</v>
      </c>
      <c r="D17" s="35"/>
      <c r="E17" s="35"/>
      <c r="F17" s="35"/>
      <c r="G17" s="35"/>
      <c r="H17" s="73" t="s">
        <v>72</v>
      </c>
      <c r="I17" s="33">
        <f>'EJECUCION AGENCIA'!I43</f>
        <v>23706000000</v>
      </c>
      <c r="J17" s="32">
        <f>+'EJECUCION AGENCIA'!J43</f>
        <v>16222244509.23</v>
      </c>
      <c r="K17" s="32">
        <f>'EJECUCION AGENCIA'!L43</f>
        <v>2805696132.7599998</v>
      </c>
      <c r="L17" s="32">
        <f>'EJECUCION AGENCIA'!N43</f>
        <v>10299976669.77</v>
      </c>
      <c r="M17" s="32">
        <f>'EJECUCION AGENCIA'!P43</f>
        <v>10296273380.77</v>
      </c>
      <c r="N17" s="32">
        <f>'EJECUCION AGENCIA'!M43</f>
        <v>6756098121.0100002</v>
      </c>
      <c r="O17" s="264">
        <f t="shared" ref="O17:O19" si="4">+J17/I17</f>
        <v>0.68430964773601621</v>
      </c>
      <c r="P17" s="253">
        <f t="shared" ref="P17:P32" si="5">+L17/I17</f>
        <v>0.43448817471399648</v>
      </c>
      <c r="Q17" s="38">
        <f t="shared" ref="Q17:Q32" si="6">+M17/I17</f>
        <v>0.43433195734286678</v>
      </c>
      <c r="R17" s="26"/>
    </row>
    <row r="18" spans="1:19" s="23" customFormat="1" ht="26.25" customHeight="1" x14ac:dyDescent="0.3">
      <c r="A18" s="85" t="s">
        <v>57</v>
      </c>
      <c r="B18" s="81"/>
      <c r="C18" s="81"/>
      <c r="D18" s="81"/>
      <c r="E18" s="81"/>
      <c r="F18" s="81"/>
      <c r="G18" s="82"/>
      <c r="H18" s="70" t="s">
        <v>116</v>
      </c>
      <c r="I18" s="68">
        <f t="shared" ref="I18:N18" si="7">SUM(I19:I23)</f>
        <v>104679345544</v>
      </c>
      <c r="J18" s="68">
        <f t="shared" si="7"/>
        <v>53242960276.240005</v>
      </c>
      <c r="K18" s="68">
        <f t="shared" si="7"/>
        <v>17734075635.599998</v>
      </c>
      <c r="L18" s="68">
        <f t="shared" si="7"/>
        <v>30633348964.899998</v>
      </c>
      <c r="M18" s="68">
        <f t="shared" si="7"/>
        <v>30633348964.899998</v>
      </c>
      <c r="N18" s="68">
        <f t="shared" si="7"/>
        <v>33702309631.959999</v>
      </c>
      <c r="O18" s="67">
        <f>+J18/I18</f>
        <v>0.50862909009934842</v>
      </c>
      <c r="P18" s="252">
        <f>+L18/I18</f>
        <v>0.29263985942693771</v>
      </c>
      <c r="Q18" s="254">
        <f>+M18/I18</f>
        <v>0.29263985942693771</v>
      </c>
      <c r="R18" s="69"/>
      <c r="S18" s="58"/>
    </row>
    <row r="19" spans="1:19" ht="26.25" customHeight="1" x14ac:dyDescent="0.3">
      <c r="A19" s="45" t="s">
        <v>57</v>
      </c>
      <c r="B19" s="30" t="s">
        <v>57</v>
      </c>
      <c r="C19" s="30" t="s">
        <v>27</v>
      </c>
      <c r="D19" s="15">
        <v>78</v>
      </c>
      <c r="E19" s="43"/>
      <c r="F19" s="43"/>
      <c r="G19" s="43"/>
      <c r="H19" s="39" t="s">
        <v>119</v>
      </c>
      <c r="I19" s="33">
        <f>'EJECUCION AGENCIA'!I86</f>
        <v>87615180154</v>
      </c>
      <c r="J19" s="34">
        <f>+'EJECUCION AGENCIA'!J86</f>
        <v>42123251619.940002</v>
      </c>
      <c r="K19" s="34">
        <f>+'EJECUCION AGENCIA'!L86</f>
        <v>13243616119.279999</v>
      </c>
      <c r="L19" s="33">
        <f>+'EJECUCION AGENCIA'!N86</f>
        <v>19538961850.599998</v>
      </c>
      <c r="M19" s="33">
        <f>+'EJECUCION AGENCIA'!P86</f>
        <v>19538961850.599998</v>
      </c>
      <c r="N19" s="37">
        <f>+'EJECUCION AGENCIA'!M86</f>
        <v>32248312414.779999</v>
      </c>
      <c r="O19" s="264">
        <f t="shared" si="4"/>
        <v>0.48077572340661218</v>
      </c>
      <c r="P19" s="253">
        <f t="shared" si="5"/>
        <v>0.22300886463118189</v>
      </c>
      <c r="Q19" s="38">
        <f t="shared" si="6"/>
        <v>0.22300886463118189</v>
      </c>
      <c r="R19" s="26"/>
      <c r="S19" s="28"/>
    </row>
    <row r="20" spans="1:19" ht="26.25" customHeight="1" x14ac:dyDescent="0.3">
      <c r="A20" s="46" t="s">
        <v>57</v>
      </c>
      <c r="B20" s="47" t="s">
        <v>57</v>
      </c>
      <c r="C20" s="47" t="s">
        <v>27</v>
      </c>
      <c r="D20" s="283">
        <v>999</v>
      </c>
      <c r="E20" s="43"/>
      <c r="F20" s="43"/>
      <c r="G20" s="43"/>
      <c r="H20" s="39" t="s">
        <v>120</v>
      </c>
      <c r="I20" s="33">
        <f>'EJECUCION AGENCIA'!I87</f>
        <v>0</v>
      </c>
      <c r="J20" s="34">
        <f>+'EJECUCION AGENCIA'!J87</f>
        <v>0</v>
      </c>
      <c r="K20" s="34">
        <f>+'EJECUCION AGENCIA'!L87</f>
        <v>0</v>
      </c>
      <c r="L20" s="33">
        <f>+'EJECUCION AGENCIA'!N87</f>
        <v>0</v>
      </c>
      <c r="M20" s="33">
        <f>+'EJECUCION AGENCIA'!P87</f>
        <v>0</v>
      </c>
      <c r="N20" s="37">
        <f>+'EJECUCION AGENCIA'!M87</f>
        <v>0</v>
      </c>
      <c r="O20" s="264" t="e">
        <f t="shared" ref="O20" si="8">+J20/I20</f>
        <v>#DIV/0!</v>
      </c>
      <c r="P20" s="253" t="e">
        <f t="shared" ref="P20" si="9">+L20/I20</f>
        <v>#DIV/0!</v>
      </c>
      <c r="Q20" s="38" t="e">
        <f t="shared" ref="Q20" si="10">+M20/I20</f>
        <v>#DIV/0!</v>
      </c>
      <c r="R20" s="26"/>
      <c r="S20" s="28"/>
    </row>
    <row r="21" spans="1:19" ht="26.25" customHeight="1" x14ac:dyDescent="0.3">
      <c r="A21" s="45" t="s">
        <v>57</v>
      </c>
      <c r="B21" s="30" t="s">
        <v>121</v>
      </c>
      <c r="C21" s="47" t="s">
        <v>45</v>
      </c>
      <c r="D21" s="47" t="s">
        <v>124</v>
      </c>
      <c r="E21" s="16" t="s">
        <v>30</v>
      </c>
      <c r="F21" s="16"/>
      <c r="G21" s="35"/>
      <c r="H21" s="39" t="s">
        <v>125</v>
      </c>
      <c r="I21" s="33">
        <f>+'EJECUCION AGENCIA'!I90</f>
        <v>140300000</v>
      </c>
      <c r="J21" s="34">
        <f>+'EJECUCION AGENCIA'!J90</f>
        <v>53099943</v>
      </c>
      <c r="K21" s="34">
        <f>+'EJECUCION AGENCIA'!L90</f>
        <v>87200057</v>
      </c>
      <c r="L21" s="33">
        <f>+'EJECUCION AGENCIA'!N90</f>
        <v>27778401</v>
      </c>
      <c r="M21" s="33">
        <f>+'EJECUCION AGENCIA'!P90</f>
        <v>27778401</v>
      </c>
      <c r="N21" s="37">
        <f>+'EJECUCION AGENCIA'!M90</f>
        <v>0</v>
      </c>
      <c r="O21" s="264">
        <f t="shared" ref="O21:O22" si="11">+J21/I21</f>
        <v>0.37847429080541695</v>
      </c>
      <c r="P21" s="253">
        <f t="shared" ref="P21:P22" si="12">+L21/I21</f>
        <v>0.19799287954383463</v>
      </c>
      <c r="Q21" s="38">
        <f t="shared" ref="Q21:Q22" si="13">+M21/I21</f>
        <v>0.19799287954383463</v>
      </c>
      <c r="R21" s="26"/>
      <c r="S21" s="28"/>
    </row>
    <row r="22" spans="1:19" ht="26.25" customHeight="1" x14ac:dyDescent="0.3">
      <c r="A22" s="46" t="s">
        <v>57</v>
      </c>
      <c r="B22" s="30" t="s">
        <v>121</v>
      </c>
      <c r="C22" s="47" t="s">
        <v>45</v>
      </c>
      <c r="D22" s="47" t="s">
        <v>124</v>
      </c>
      <c r="E22" s="16" t="s">
        <v>48</v>
      </c>
      <c r="F22" s="16"/>
      <c r="G22" s="35"/>
      <c r="H22" s="39" t="s">
        <v>126</v>
      </c>
      <c r="I22" s="33">
        <f>+'EJECUCION AGENCIA'!I91</f>
        <v>122400000</v>
      </c>
      <c r="J22" s="34">
        <f>+'EJECUCION AGENCIA'!J91</f>
        <v>47309836</v>
      </c>
      <c r="K22" s="34">
        <f>+'EJECUCION AGENCIA'!L91</f>
        <v>75090164</v>
      </c>
      <c r="L22" s="33">
        <f>+'EJECUCION AGENCIA'!N91</f>
        <v>47309836</v>
      </c>
      <c r="M22" s="33">
        <f>+'EJECUCION AGENCIA'!P91</f>
        <v>47309836</v>
      </c>
      <c r="N22" s="37">
        <f>+'EJECUCION AGENCIA'!M91</f>
        <v>0</v>
      </c>
      <c r="O22" s="264">
        <f t="shared" si="11"/>
        <v>0.38651826797385619</v>
      </c>
      <c r="P22" s="253">
        <f t="shared" si="12"/>
        <v>0.38651826797385619</v>
      </c>
      <c r="Q22" s="38">
        <f t="shared" si="13"/>
        <v>0.38651826797385619</v>
      </c>
      <c r="S22" s="28"/>
    </row>
    <row r="23" spans="1:19" ht="26.25" customHeight="1" x14ac:dyDescent="0.3">
      <c r="A23" s="46" t="s">
        <v>57</v>
      </c>
      <c r="B23" s="30">
        <v>10</v>
      </c>
      <c r="C23" s="47" t="s">
        <v>45</v>
      </c>
      <c r="D23" s="47" t="s">
        <v>30</v>
      </c>
      <c r="E23" s="16"/>
      <c r="F23" s="16"/>
      <c r="G23" s="35"/>
      <c r="H23" s="39" t="s">
        <v>129</v>
      </c>
      <c r="I23" s="31">
        <f>'EJECUCION AGENCIA'!I92</f>
        <v>16801465390</v>
      </c>
      <c r="J23" s="33">
        <f>+'EJECUCION AGENCIA'!J92</f>
        <v>11019298877.299999</v>
      </c>
      <c r="K23" s="33">
        <f>+'EJECUCION AGENCIA'!L92</f>
        <v>4328169295.3199997</v>
      </c>
      <c r="L23" s="33">
        <f>+'EJECUCION AGENCIA'!N92</f>
        <v>11019298877.299999</v>
      </c>
      <c r="M23" s="33">
        <f>+'EJECUCION AGENCIA'!P92</f>
        <v>11019298877.299999</v>
      </c>
      <c r="N23" s="31">
        <f>+'EJECUCION AGENCIA'!M92</f>
        <v>1453997217.1800001</v>
      </c>
      <c r="O23" s="264">
        <f>+J23/I23</f>
        <v>0.6558534402516184</v>
      </c>
      <c r="P23" s="255">
        <f t="shared" si="5"/>
        <v>0.6558534402516184</v>
      </c>
      <c r="Q23" s="117">
        <f>+M23/I23</f>
        <v>0.6558534402516184</v>
      </c>
      <c r="S23" s="28"/>
    </row>
    <row r="24" spans="1:19" s="23" customFormat="1" ht="26.25" customHeight="1" x14ac:dyDescent="0.3">
      <c r="A24" s="491" t="s">
        <v>130</v>
      </c>
      <c r="B24" s="492"/>
      <c r="C24" s="492"/>
      <c r="D24" s="492"/>
      <c r="E24" s="492"/>
      <c r="F24" s="492"/>
      <c r="G24" s="493"/>
      <c r="H24" s="74" t="str">
        <f>+'EJECUCION AGENCIA'!H95</f>
        <v>GASTOS POR TRIBUTOS, MULTAS, SANCIONES E INTERESES DE MORA</v>
      </c>
      <c r="I24" s="68">
        <f>SUM(I25)</f>
        <v>299100000</v>
      </c>
      <c r="J24" s="68">
        <f t="shared" ref="J24:N24" si="14">SUM(J25)</f>
        <v>0</v>
      </c>
      <c r="K24" s="68">
        <f t="shared" si="14"/>
        <v>0</v>
      </c>
      <c r="L24" s="68">
        <f t="shared" si="14"/>
        <v>0</v>
      </c>
      <c r="M24" s="68">
        <f t="shared" si="14"/>
        <v>0</v>
      </c>
      <c r="N24" s="68">
        <f t="shared" si="14"/>
        <v>299100000</v>
      </c>
      <c r="O24" s="67">
        <f>+J24/I24</f>
        <v>0</v>
      </c>
      <c r="P24" s="252">
        <f t="shared" si="5"/>
        <v>0</v>
      </c>
      <c r="Q24" s="67">
        <f t="shared" si="6"/>
        <v>0</v>
      </c>
      <c r="R24" s="48"/>
      <c r="S24" s="49"/>
    </row>
    <row r="25" spans="1:19" ht="26.25" customHeight="1" x14ac:dyDescent="0.3">
      <c r="A25" s="45" t="s">
        <v>130</v>
      </c>
      <c r="B25" s="30" t="s">
        <v>121</v>
      </c>
      <c r="C25" s="30" t="s">
        <v>27</v>
      </c>
      <c r="D25" s="30"/>
      <c r="E25" s="43"/>
      <c r="F25" s="43"/>
      <c r="G25" s="50"/>
      <c r="H25" s="75" t="str">
        <f>+'EJECUCION AGENCIA'!H97</f>
        <v>CUOTA DE FISCALIZACIÓN Y AUDITAJE</v>
      </c>
      <c r="I25" s="33">
        <f>+'EJECUCION AGENCIA'!I97</f>
        <v>299100000</v>
      </c>
      <c r="J25" s="34">
        <f>'EJECUCION AGENCIA'!J97</f>
        <v>0</v>
      </c>
      <c r="K25" s="44">
        <f>+'EJECUCION AGENCIA'!L97</f>
        <v>0</v>
      </c>
      <c r="L25" s="37">
        <f>+'EJECUCION AGENCIA'!N97</f>
        <v>0</v>
      </c>
      <c r="M25" s="37">
        <f>+'EJECUCION AGENCIA'!P97</f>
        <v>0</v>
      </c>
      <c r="N25" s="37">
        <f>+'EJECUCION AGENCIA'!M97</f>
        <v>299100000</v>
      </c>
      <c r="O25" s="38">
        <f>+J25/I25</f>
        <v>0</v>
      </c>
      <c r="P25" s="253">
        <f t="shared" si="5"/>
        <v>0</v>
      </c>
      <c r="Q25" s="38">
        <f t="shared" si="6"/>
        <v>0</v>
      </c>
      <c r="S25" s="28"/>
    </row>
    <row r="26" spans="1:19" ht="26.25" customHeight="1" x14ac:dyDescent="0.3">
      <c r="A26" s="466" t="s">
        <v>169</v>
      </c>
      <c r="B26" s="467"/>
      <c r="C26" s="467"/>
      <c r="D26" s="467"/>
      <c r="E26" s="467"/>
      <c r="F26" s="467"/>
      <c r="G26" s="467"/>
      <c r="H26" s="468"/>
      <c r="I26" s="51">
        <f t="shared" ref="I26:N26" si="15">I10+I15+I18+I24</f>
        <v>195491745544</v>
      </c>
      <c r="J26" s="51">
        <f t="shared" si="15"/>
        <v>102843325323.12001</v>
      </c>
      <c r="K26" s="51">
        <f t="shared" si="15"/>
        <v>45618451230.709991</v>
      </c>
      <c r="L26" s="51">
        <f t="shared" si="15"/>
        <v>74277897244.319992</v>
      </c>
      <c r="M26" s="51">
        <f t="shared" si="15"/>
        <v>73769517776.319992</v>
      </c>
      <c r="N26" s="51">
        <f t="shared" si="15"/>
        <v>40813507752.970001</v>
      </c>
      <c r="O26" s="52">
        <f>+J26/I26</f>
        <v>0.52607502703981279</v>
      </c>
      <c r="P26" s="256">
        <f t="shared" si="5"/>
        <v>0.37995413585174631</v>
      </c>
      <c r="Q26" s="52">
        <f t="shared" si="6"/>
        <v>0.37735361956608254</v>
      </c>
    </row>
    <row r="27" spans="1:19" ht="36" customHeight="1" x14ac:dyDescent="0.3">
      <c r="A27" s="71" t="s">
        <v>136</v>
      </c>
      <c r="B27" s="17" t="s">
        <v>137</v>
      </c>
      <c r="C27" s="17">
        <v>3</v>
      </c>
      <c r="D27" s="488"/>
      <c r="E27" s="489"/>
      <c r="F27" s="489"/>
      <c r="G27" s="490"/>
      <c r="H27" s="70" t="s">
        <v>138</v>
      </c>
      <c r="I27" s="68">
        <f t="shared" ref="I27:N27" si="16">SUM(I28:I31)</f>
        <v>12266327000</v>
      </c>
      <c r="J27" s="68">
        <f t="shared" si="16"/>
        <v>9660303276</v>
      </c>
      <c r="K27" s="68">
        <f t="shared" si="16"/>
        <v>2405150102</v>
      </c>
      <c r="L27" s="68">
        <f t="shared" si="16"/>
        <v>2883104835</v>
      </c>
      <c r="M27" s="68">
        <f t="shared" si="16"/>
        <v>2883104835</v>
      </c>
      <c r="N27" s="68">
        <f t="shared" si="16"/>
        <v>200873622</v>
      </c>
      <c r="O27" s="67">
        <f t="shared" ref="O27:O32" si="17">+J27/I27</f>
        <v>0.78754653092160354</v>
      </c>
      <c r="P27" s="252">
        <f t="shared" si="5"/>
        <v>0.2350422286149717</v>
      </c>
      <c r="Q27" s="67">
        <f t="shared" si="6"/>
        <v>0.2350422286149717</v>
      </c>
      <c r="R27" s="26"/>
    </row>
    <row r="28" spans="1:19" ht="45.75" customHeight="1" x14ac:dyDescent="0.3">
      <c r="A28" s="18" t="s">
        <v>136</v>
      </c>
      <c r="B28" s="19" t="s">
        <v>137</v>
      </c>
      <c r="C28" s="19">
        <v>3</v>
      </c>
      <c r="D28" s="211" t="s">
        <v>139</v>
      </c>
      <c r="E28" s="53" t="s">
        <v>170</v>
      </c>
      <c r="F28" s="35" t="s">
        <v>45</v>
      </c>
      <c r="G28" s="35" t="s">
        <v>27</v>
      </c>
      <c r="H28" s="54" t="s">
        <v>171</v>
      </c>
      <c r="I28" s="31">
        <f>+'EJECUCION AGENCIA'!I103</f>
        <v>504623300</v>
      </c>
      <c r="J28" s="31">
        <f>+'EJECUCION AGENCIA'!J103</f>
        <v>504623300</v>
      </c>
      <c r="K28" s="31">
        <f>+'EJECUCION AGENCIA'!L103</f>
        <v>0</v>
      </c>
      <c r="L28" s="31">
        <f>+'EJECUCION AGENCIA'!N103</f>
        <v>313773040</v>
      </c>
      <c r="M28" s="31">
        <f>+'EJECUCION AGENCIA'!P103</f>
        <v>313773040</v>
      </c>
      <c r="N28" s="31">
        <f>+'EJECUCION AGENCIA'!M103</f>
        <v>0</v>
      </c>
      <c r="O28" s="55">
        <f t="shared" si="17"/>
        <v>1</v>
      </c>
      <c r="P28" s="257">
        <f t="shared" si="5"/>
        <v>0.62179657578237069</v>
      </c>
      <c r="Q28" s="55">
        <f t="shared" si="6"/>
        <v>0.62179657578237069</v>
      </c>
      <c r="R28" s="26"/>
    </row>
    <row r="29" spans="1:19" ht="47.25" customHeight="1" x14ac:dyDescent="0.3">
      <c r="A29" s="18" t="s">
        <v>136</v>
      </c>
      <c r="B29" s="19" t="s">
        <v>137</v>
      </c>
      <c r="C29" s="19">
        <v>3</v>
      </c>
      <c r="D29" s="211" t="s">
        <v>139</v>
      </c>
      <c r="E29" s="53" t="s">
        <v>172</v>
      </c>
      <c r="F29" s="35" t="s">
        <v>45</v>
      </c>
      <c r="G29" s="35" t="s">
        <v>27</v>
      </c>
      <c r="H29" s="54" t="s">
        <v>171</v>
      </c>
      <c r="I29" s="31">
        <f>+'EJECUCION AGENCIA'!I106</f>
        <v>3208607242</v>
      </c>
      <c r="J29" s="31">
        <f>+'EJECUCION AGENCIA'!J106</f>
        <v>1486000000</v>
      </c>
      <c r="K29" s="31">
        <f>+'EJECUCION AGENCIA'!L106</f>
        <v>1656080438</v>
      </c>
      <c r="L29" s="31">
        <f>+'EJECUCION AGENCIA'!N106</f>
        <v>211800000</v>
      </c>
      <c r="M29" s="31">
        <f>+'EJECUCION AGENCIA'!P106</f>
        <v>211800000</v>
      </c>
      <c r="N29" s="31">
        <f>+'EJECUCION AGENCIA'!M106</f>
        <v>66526804</v>
      </c>
      <c r="O29" s="55">
        <f t="shared" si="17"/>
        <v>0.46312929190851709</v>
      </c>
      <c r="P29" s="257">
        <f t="shared" si="5"/>
        <v>6.6009948873636551E-2</v>
      </c>
      <c r="Q29" s="55">
        <f t="shared" si="6"/>
        <v>6.6009948873636551E-2</v>
      </c>
      <c r="R29" s="26"/>
    </row>
    <row r="30" spans="1:19" ht="42" customHeight="1" x14ac:dyDescent="0.3">
      <c r="A30" s="18" t="s">
        <v>136</v>
      </c>
      <c r="B30" s="19" t="s">
        <v>137</v>
      </c>
      <c r="C30" s="19">
        <v>3</v>
      </c>
      <c r="D30" s="211" t="s">
        <v>139</v>
      </c>
      <c r="E30" s="53" t="s">
        <v>173</v>
      </c>
      <c r="F30" s="35" t="s">
        <v>45</v>
      </c>
      <c r="G30" s="35" t="s">
        <v>45</v>
      </c>
      <c r="H30" s="54" t="s">
        <v>149</v>
      </c>
      <c r="I30" s="31">
        <f>+'EJECUCION AGENCIA'!I109</f>
        <v>7245161148</v>
      </c>
      <c r="J30" s="31">
        <f>+'EJECUCION AGENCIA'!J109</f>
        <v>6378997685</v>
      </c>
      <c r="K30" s="31">
        <f>+'EJECUCION AGENCIA'!L109</f>
        <v>735950000</v>
      </c>
      <c r="L30" s="31">
        <f>+'EJECUCION AGENCIA'!N109</f>
        <v>1731633845</v>
      </c>
      <c r="M30" s="31">
        <f>+'EJECUCION AGENCIA'!P109</f>
        <v>1731633845</v>
      </c>
      <c r="N30" s="31">
        <f>+'EJECUCION AGENCIA'!M109</f>
        <v>130213463</v>
      </c>
      <c r="O30" s="55">
        <f t="shared" si="17"/>
        <v>0.88044938610660151</v>
      </c>
      <c r="P30" s="257">
        <f t="shared" si="5"/>
        <v>0.23900556656051897</v>
      </c>
      <c r="Q30" s="55">
        <f t="shared" si="6"/>
        <v>0.23900556656051897</v>
      </c>
      <c r="R30" s="26"/>
    </row>
    <row r="31" spans="1:19" ht="42" customHeight="1" x14ac:dyDescent="0.3">
      <c r="A31" s="18" t="s">
        <v>136</v>
      </c>
      <c r="B31" s="19" t="s">
        <v>137</v>
      </c>
      <c r="C31" s="19">
        <v>3</v>
      </c>
      <c r="D31" s="211" t="s">
        <v>139</v>
      </c>
      <c r="E31" s="53" t="s">
        <v>173</v>
      </c>
      <c r="F31" s="35" t="s">
        <v>45</v>
      </c>
      <c r="G31" s="35">
        <v>3</v>
      </c>
      <c r="H31" s="288" t="s">
        <v>150</v>
      </c>
      <c r="I31" s="31">
        <f>+'EJECUCION AGENCIA'!I110</f>
        <v>1307935310</v>
      </c>
      <c r="J31" s="31">
        <f>+'EJECUCION AGENCIA'!J110</f>
        <v>1290682291</v>
      </c>
      <c r="K31" s="31">
        <f>+'EJECUCION AGENCIA'!L110</f>
        <v>13119664</v>
      </c>
      <c r="L31" s="31">
        <f>+'EJECUCION AGENCIA'!N110</f>
        <v>625897950</v>
      </c>
      <c r="M31" s="31">
        <f>+'EJECUCION AGENCIA'!P110</f>
        <v>625897950</v>
      </c>
      <c r="N31" s="31">
        <f>+'EJECUCION AGENCIA'!M110</f>
        <v>4133355</v>
      </c>
      <c r="O31" s="55">
        <f t="shared" si="17"/>
        <v>0.98680896611010527</v>
      </c>
      <c r="P31" s="257">
        <f t="shared" si="5"/>
        <v>0.47853891948218752</v>
      </c>
      <c r="Q31" s="55">
        <f t="shared" si="6"/>
        <v>0.47853891948218752</v>
      </c>
      <c r="R31" s="26"/>
    </row>
    <row r="32" spans="1:19" ht="24.75" customHeight="1" x14ac:dyDescent="0.3">
      <c r="A32" s="466" t="s">
        <v>174</v>
      </c>
      <c r="B32" s="467"/>
      <c r="C32" s="467"/>
      <c r="D32" s="467"/>
      <c r="E32" s="467"/>
      <c r="F32" s="467"/>
      <c r="G32" s="467"/>
      <c r="H32" s="468"/>
      <c r="I32" s="51">
        <f t="shared" ref="I32:N32" si="18">I27</f>
        <v>12266327000</v>
      </c>
      <c r="J32" s="51">
        <f t="shared" si="18"/>
        <v>9660303276</v>
      </c>
      <c r="K32" s="51">
        <f t="shared" si="18"/>
        <v>2405150102</v>
      </c>
      <c r="L32" s="51">
        <f t="shared" si="18"/>
        <v>2883104835</v>
      </c>
      <c r="M32" s="51">
        <f t="shared" si="18"/>
        <v>2883104835</v>
      </c>
      <c r="N32" s="51">
        <f t="shared" si="18"/>
        <v>200873622</v>
      </c>
      <c r="O32" s="52">
        <f t="shared" si="17"/>
        <v>0.78754653092160354</v>
      </c>
      <c r="P32" s="256">
        <f t="shared" si="5"/>
        <v>0.2350422286149717</v>
      </c>
      <c r="Q32" s="52">
        <f t="shared" si="6"/>
        <v>0.2350422286149717</v>
      </c>
    </row>
    <row r="33" spans="1:19" s="11" customFormat="1" ht="24" customHeight="1" thickBot="1" x14ac:dyDescent="0.35">
      <c r="A33" s="469" t="s">
        <v>175</v>
      </c>
      <c r="B33" s="470"/>
      <c r="C33" s="470"/>
      <c r="D33" s="470"/>
      <c r="E33" s="470"/>
      <c r="F33" s="470"/>
      <c r="G33" s="470"/>
      <c r="H33" s="471"/>
      <c r="I33" s="258">
        <f t="shared" ref="I33:N33" si="19">+I26+I32</f>
        <v>207758072544</v>
      </c>
      <c r="J33" s="258">
        <f t="shared" si="19"/>
        <v>112503628599.12001</v>
      </c>
      <c r="K33" s="258">
        <f t="shared" si="19"/>
        <v>48023601332.709991</v>
      </c>
      <c r="L33" s="258">
        <f t="shared" si="19"/>
        <v>77161002079.319992</v>
      </c>
      <c r="M33" s="258">
        <f t="shared" si="19"/>
        <v>76652622611.319992</v>
      </c>
      <c r="N33" s="258">
        <f t="shared" si="19"/>
        <v>41014381374.970001</v>
      </c>
      <c r="O33" s="260">
        <f>+J33/I33</f>
        <v>0.54151267010476067</v>
      </c>
      <c r="P33" s="259">
        <f>+L33/I33</f>
        <v>0.37139833429566721</v>
      </c>
      <c r="Q33" s="260">
        <f>+M33/I33</f>
        <v>0.36895135612642022</v>
      </c>
      <c r="R33" s="111"/>
      <c r="S33" s="93"/>
    </row>
    <row r="34" spans="1:19" s="91" customFormat="1" ht="12" customHeight="1" x14ac:dyDescent="0.3">
      <c r="A34" s="86"/>
      <c r="B34" s="86"/>
      <c r="C34" s="86"/>
      <c r="D34" s="86"/>
      <c r="E34" s="86"/>
      <c r="F34" s="86"/>
      <c r="G34" s="86"/>
      <c r="H34" s="86"/>
      <c r="I34" s="87"/>
      <c r="J34" s="87"/>
      <c r="K34" s="88"/>
      <c r="L34" s="87"/>
      <c r="M34" s="89"/>
      <c r="N34" s="89"/>
      <c r="O34" s="90"/>
      <c r="P34" s="90"/>
      <c r="Q34" s="90"/>
      <c r="S34" s="92"/>
    </row>
    <row r="35" spans="1:19" ht="12" customHeight="1" x14ac:dyDescent="0.3">
      <c r="A35" s="463" t="str">
        <f>+'EJECUCION AGENCIA'!A124</f>
        <v>Fuente: SIIF-NACIÓN</v>
      </c>
      <c r="B35" s="463"/>
      <c r="C35" s="463"/>
      <c r="D35" s="463"/>
      <c r="E35" s="463"/>
      <c r="F35" s="463"/>
      <c r="G35" s="463"/>
      <c r="H35" s="463"/>
      <c r="K35" s="42"/>
      <c r="L35" s="42"/>
      <c r="M35" s="42"/>
      <c r="N35" s="42"/>
      <c r="O35" s="60"/>
    </row>
    <row r="36" spans="1:19" ht="12" customHeight="1" x14ac:dyDescent="0.3">
      <c r="A36" s="463"/>
      <c r="B36" s="463"/>
      <c r="C36" s="463"/>
      <c r="D36" s="463"/>
      <c r="E36" s="463"/>
      <c r="F36" s="463"/>
      <c r="G36" s="463"/>
      <c r="H36" s="463"/>
      <c r="K36" s="464"/>
      <c r="L36" s="464"/>
      <c r="M36" s="464"/>
      <c r="N36" s="20"/>
      <c r="O36" s="60"/>
    </row>
    <row r="37" spans="1:19" ht="12" customHeight="1" x14ac:dyDescent="0.3">
      <c r="A37" s="114"/>
      <c r="B37" s="114"/>
      <c r="C37" s="114"/>
      <c r="D37" s="114"/>
      <c r="E37" s="114"/>
      <c r="F37" s="114"/>
      <c r="G37" s="114"/>
      <c r="H37" s="114"/>
      <c r="K37" s="464"/>
      <c r="L37" s="464"/>
      <c r="M37" s="464"/>
      <c r="N37" s="20"/>
      <c r="O37" s="60"/>
    </row>
    <row r="38" spans="1:19" ht="12" customHeight="1" x14ac:dyDescent="0.3">
      <c r="A38" s="114"/>
      <c r="B38" s="114"/>
      <c r="C38" s="114"/>
      <c r="D38" s="114"/>
      <c r="E38" s="114"/>
      <c r="F38" s="114"/>
      <c r="G38" s="114"/>
      <c r="H38" s="114"/>
      <c r="K38" s="464"/>
      <c r="L38" s="464"/>
      <c r="M38" s="464"/>
      <c r="N38" s="20"/>
      <c r="O38" s="60"/>
    </row>
    <row r="39" spans="1:19" ht="12" customHeight="1" x14ac:dyDescent="0.3">
      <c r="H39" s="56" t="s">
        <v>176</v>
      </c>
      <c r="K39" s="464"/>
      <c r="L39" s="464"/>
      <c r="M39" s="464"/>
      <c r="N39" s="26"/>
    </row>
    <row r="40" spans="1:19" ht="12" customHeight="1" x14ac:dyDescent="0.3">
      <c r="H40" s="56"/>
      <c r="K40" s="115"/>
      <c r="L40" s="115"/>
      <c r="M40" s="115"/>
      <c r="N40" s="26"/>
    </row>
    <row r="41" spans="1:19" ht="12" customHeight="1" x14ac:dyDescent="0.3">
      <c r="A41" s="22"/>
      <c r="B41" s="57"/>
      <c r="J41" s="59"/>
      <c r="P41" s="21"/>
      <c r="Q41" s="60"/>
    </row>
    <row r="42" spans="1:19" s="13" customFormat="1" ht="26.25" customHeight="1" x14ac:dyDescent="0.3">
      <c r="A42" s="465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12"/>
      <c r="Q42" s="14"/>
      <c r="R42" s="12"/>
      <c r="S42" s="94"/>
    </row>
    <row r="43" spans="1:19" s="13" customFormat="1" ht="21.75" customHeight="1" x14ac:dyDescent="0.3">
      <c r="A43" s="465" t="s">
        <v>362</v>
      </c>
      <c r="B43" s="46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12"/>
      <c r="Q43" s="12"/>
      <c r="R43" s="12"/>
      <c r="S43" s="94"/>
    </row>
    <row r="44" spans="1:19" ht="12" customHeight="1" x14ac:dyDescent="0.3">
      <c r="L44" s="61"/>
      <c r="M44" s="61"/>
    </row>
    <row r="45" spans="1:19" ht="12" customHeight="1" x14ac:dyDescent="0.3">
      <c r="K45" s="40"/>
      <c r="O45" s="60"/>
    </row>
    <row r="46" spans="1:19" ht="12" customHeight="1" x14ac:dyDescent="0.3">
      <c r="K46" s="40"/>
      <c r="N46" s="26"/>
      <c r="S46" s="24"/>
    </row>
    <row r="47" spans="1:19" ht="12" customHeight="1" x14ac:dyDescent="0.3">
      <c r="C47" s="462"/>
      <c r="D47" s="462"/>
      <c r="E47" s="462"/>
      <c r="F47" s="462"/>
      <c r="G47" s="462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2"/>
      <c r="N49" s="24"/>
      <c r="P49" s="25"/>
      <c r="Q49" s="25"/>
      <c r="R49" s="25"/>
      <c r="S49" s="24"/>
    </row>
    <row r="50" spans="8:19" ht="12" customHeight="1" x14ac:dyDescent="0.3">
      <c r="H50" s="40"/>
      <c r="M50" s="63"/>
      <c r="N50" s="24"/>
      <c r="P50" s="25"/>
      <c r="Q50" s="25"/>
      <c r="R50" s="25"/>
      <c r="S50" s="24"/>
    </row>
    <row r="51" spans="8:19" ht="12" customHeight="1" x14ac:dyDescent="0.3">
      <c r="H51" s="40"/>
      <c r="M51" s="63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3"/>
      <c r="N53" s="24"/>
      <c r="P53" s="25"/>
      <c r="Q53" s="25"/>
      <c r="R53" s="25"/>
      <c r="S53" s="24"/>
    </row>
    <row r="54" spans="8:19" ht="12" customHeight="1" x14ac:dyDescent="0.3">
      <c r="H54" s="64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5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5"/>
      <c r="J62" s="59"/>
    </row>
    <row r="63" spans="8:19" ht="12" customHeight="1" x14ac:dyDescent="0.3">
      <c r="H63" s="66"/>
    </row>
    <row r="65" spans="8:15" ht="12" customHeight="1" x14ac:dyDescent="0.3">
      <c r="N65" s="26"/>
      <c r="O65" s="96"/>
    </row>
    <row r="66" spans="8:15" ht="12" customHeight="1" x14ac:dyDescent="0.3">
      <c r="H66" s="66"/>
      <c r="N66" s="26"/>
      <c r="O66" s="96"/>
    </row>
    <row r="67" spans="8:15" ht="12" customHeight="1" x14ac:dyDescent="0.3">
      <c r="H67" s="66"/>
      <c r="N67" s="26"/>
      <c r="O67" s="96"/>
    </row>
    <row r="68" spans="8:15" ht="12" customHeight="1" x14ac:dyDescent="0.3">
      <c r="H68" s="66"/>
      <c r="N68" s="26"/>
      <c r="O68" s="96"/>
    </row>
    <row r="69" spans="8:15" ht="12" customHeight="1" x14ac:dyDescent="0.3">
      <c r="H69" s="66"/>
      <c r="N69" s="26"/>
      <c r="O69" s="96"/>
    </row>
    <row r="70" spans="8:15" ht="12" customHeight="1" x14ac:dyDescent="0.3">
      <c r="N70" s="26"/>
      <c r="O70" s="96"/>
    </row>
    <row r="71" spans="8:15" ht="12" customHeight="1" x14ac:dyDescent="0.3">
      <c r="N71" s="26"/>
      <c r="O71" s="96"/>
    </row>
    <row r="72" spans="8:15" ht="12" customHeight="1" x14ac:dyDescent="0.3">
      <c r="N72" s="26"/>
      <c r="O72" s="96"/>
    </row>
    <row r="73" spans="8:15" ht="12" customHeight="1" x14ac:dyDescent="0.3">
      <c r="N73" s="26"/>
      <c r="O73" s="96"/>
    </row>
    <row r="74" spans="8:15" ht="12" customHeight="1" x14ac:dyDescent="0.3">
      <c r="N74" s="26"/>
      <c r="O74" s="96"/>
    </row>
    <row r="75" spans="8:15" ht="12" customHeight="1" x14ac:dyDescent="0.3">
      <c r="N75" s="26"/>
      <c r="O75" s="96"/>
    </row>
    <row r="76" spans="8:15" ht="12" customHeight="1" x14ac:dyDescent="0.3">
      <c r="N76" s="26"/>
      <c r="O76" s="96"/>
    </row>
    <row r="77" spans="8:15" ht="12" customHeight="1" x14ac:dyDescent="0.3">
      <c r="N77" s="26"/>
      <c r="O77" s="96"/>
    </row>
    <row r="78" spans="8:15" ht="12" customHeight="1" x14ac:dyDescent="0.3">
      <c r="N78" s="26"/>
      <c r="O78" s="96"/>
    </row>
    <row r="162" spans="4:4" ht="12" customHeight="1" x14ac:dyDescent="0.3">
      <c r="D162" s="2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headerFooter>
    <oddFooter>&amp;LGF-F-17 Versión 002.</oddFooter>
  </headerFooter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2"/>
  <sheetViews>
    <sheetView showGridLines="0" topLeftCell="A2" zoomScale="90" zoomScaleNormal="90" workbookViewId="0">
      <selection activeCell="F33" sqref="F33"/>
    </sheetView>
  </sheetViews>
  <sheetFormatPr baseColWidth="10" defaultColWidth="11.44140625" defaultRowHeight="13.8" x14ac:dyDescent="0.3"/>
  <cols>
    <col min="1" max="1" width="4.6640625" style="97" customWidth="1"/>
    <col min="2" max="2" width="38.44140625" style="97" customWidth="1"/>
    <col min="3" max="3" width="19.33203125" style="97" customWidth="1"/>
    <col min="4" max="4" width="19.88671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5.5546875" style="97" customWidth="1"/>
    <col min="11" max="11" width="14.88671875" style="97" customWidth="1"/>
    <col min="12" max="16384" width="11.44140625" style="97"/>
  </cols>
  <sheetData>
    <row r="1" spans="2:12" ht="14.4" thickBot="1" x14ac:dyDescent="0.35"/>
    <row r="2" spans="2:12" ht="31.5" customHeight="1" thickBot="1" x14ac:dyDescent="0.35">
      <c r="B2" s="112" t="s">
        <v>160</v>
      </c>
      <c r="C2" s="109" t="s">
        <v>161</v>
      </c>
      <c r="D2" s="109" t="s">
        <v>162</v>
      </c>
      <c r="E2" s="109" t="s">
        <v>163</v>
      </c>
      <c r="F2" s="109" t="s">
        <v>22</v>
      </c>
      <c r="G2" s="109" t="s">
        <v>24</v>
      </c>
      <c r="H2" s="109" t="s">
        <v>164</v>
      </c>
      <c r="I2" s="285" t="s">
        <v>177</v>
      </c>
      <c r="J2" s="285" t="s">
        <v>178</v>
      </c>
    </row>
    <row r="3" spans="2:12" ht="23.25" customHeight="1" thickBot="1" x14ac:dyDescent="0.35">
      <c r="B3" s="98" t="s">
        <v>26</v>
      </c>
      <c r="C3" s="99">
        <f>+'SEG.PTAL-DR '!I10</f>
        <v>66681300000</v>
      </c>
      <c r="D3" s="99">
        <f>+'SEG.PTAL-DR '!J10</f>
        <v>33378120537.650002</v>
      </c>
      <c r="E3" s="99">
        <f>+'SEG.PTAL-DR '!K10</f>
        <v>25008679462.349998</v>
      </c>
      <c r="F3" s="99">
        <f>+'SEG.PTAL-DR '!L10</f>
        <v>33344571609.650002</v>
      </c>
      <c r="G3" s="99">
        <f>+'SEG.PTAL-DR '!M10</f>
        <v>32839895430.650002</v>
      </c>
      <c r="H3" s="99">
        <f>+'SEG.PTAL-DR '!N10</f>
        <v>0</v>
      </c>
      <c r="I3" s="100">
        <f t="shared" ref="I3:I10" si="0">+D3/C3</f>
        <v>0.50056193472007893</v>
      </c>
      <c r="J3" s="100">
        <f t="shared" ref="J3:J10" si="1">+F3/C3</f>
        <v>0.50005881123568374</v>
      </c>
    </row>
    <row r="4" spans="2:12" ht="23.25" customHeight="1" thickBot="1" x14ac:dyDescent="0.35">
      <c r="B4" s="98" t="s">
        <v>179</v>
      </c>
      <c r="C4" s="99">
        <f>+'SEG.PTAL-DR '!I15</f>
        <v>23832000000</v>
      </c>
      <c r="D4" s="99">
        <f>+'SEG.PTAL-DR '!J15</f>
        <v>16222244509.23</v>
      </c>
      <c r="E4" s="99">
        <f>+'SEG.PTAL-DR '!K15</f>
        <v>2875696132.7599998</v>
      </c>
      <c r="F4" s="99">
        <f>+'SEG.PTAL-DR '!L15</f>
        <v>10299976669.77</v>
      </c>
      <c r="G4" s="99">
        <f>+'SEG.PTAL-DR '!M15</f>
        <v>10296273380.77</v>
      </c>
      <c r="H4" s="99">
        <f>+'SEG.PTAL-DR '!N15</f>
        <v>6812098121.0100002</v>
      </c>
      <c r="I4" s="100">
        <f t="shared" si="0"/>
        <v>0.68069169642623362</v>
      </c>
      <c r="J4" s="100">
        <f t="shared" si="1"/>
        <v>0.43219103179632429</v>
      </c>
    </row>
    <row r="5" spans="2:12" ht="23.25" customHeight="1" thickBot="1" x14ac:dyDescent="0.35">
      <c r="B5" s="98" t="s">
        <v>180</v>
      </c>
      <c r="C5" s="99">
        <f>+'SEG.PTAL-DR '!I18</f>
        <v>104679345544</v>
      </c>
      <c r="D5" s="99">
        <f>+'SEG.PTAL-DR '!J18</f>
        <v>53242960276.240005</v>
      </c>
      <c r="E5" s="99">
        <f>+'SEG.PTAL-DR '!K18</f>
        <v>17734075635.599998</v>
      </c>
      <c r="F5" s="99">
        <f>+'SEG.PTAL-DR '!L18</f>
        <v>30633348964.899998</v>
      </c>
      <c r="G5" s="99">
        <f>+'SEG.PTAL-DR '!M18</f>
        <v>30633348964.899998</v>
      </c>
      <c r="H5" s="99">
        <f>+'SEG.PTAL-DR '!N18</f>
        <v>33702309631.959999</v>
      </c>
      <c r="I5" s="100">
        <f t="shared" si="0"/>
        <v>0.50862909009934842</v>
      </c>
      <c r="J5" s="100">
        <f t="shared" si="1"/>
        <v>0.29263985942693771</v>
      </c>
    </row>
    <row r="6" spans="2:12" ht="23.25" customHeight="1" thickBot="1" x14ac:dyDescent="0.35">
      <c r="B6" s="98" t="s">
        <v>131</v>
      </c>
      <c r="C6" s="99">
        <f>+'SEG.PTAL-DR '!I24</f>
        <v>299100000</v>
      </c>
      <c r="D6" s="99">
        <f>+'SEG.PTAL-DR '!J24</f>
        <v>0</v>
      </c>
      <c r="E6" s="99">
        <f>+'SEG.PTAL-DR '!K24</f>
        <v>0</v>
      </c>
      <c r="F6" s="99">
        <f>+'SEG.PTAL-DR '!L24</f>
        <v>0</v>
      </c>
      <c r="G6" s="99">
        <f>+'SEG.PTAL-DR '!M24</f>
        <v>0</v>
      </c>
      <c r="H6" s="99">
        <f>+'SEG.PTAL-DR '!N24</f>
        <v>299100000</v>
      </c>
      <c r="I6" s="100">
        <f t="shared" si="0"/>
        <v>0</v>
      </c>
      <c r="J6" s="100">
        <f t="shared" si="1"/>
        <v>0</v>
      </c>
    </row>
    <row r="7" spans="2:12" ht="20.25" customHeight="1" thickBot="1" x14ac:dyDescent="0.35">
      <c r="B7" s="105" t="s">
        <v>135</v>
      </c>
      <c r="C7" s="106">
        <f>SUM(C3:C6)</f>
        <v>195491745544</v>
      </c>
      <c r="D7" s="106">
        <f t="shared" ref="D7:H7" si="2">SUM(D3:D6)</f>
        <v>102843325323.12001</v>
      </c>
      <c r="E7" s="106">
        <f t="shared" si="2"/>
        <v>45618451230.709991</v>
      </c>
      <c r="F7" s="106">
        <f t="shared" si="2"/>
        <v>74277897244.319992</v>
      </c>
      <c r="G7" s="106">
        <f t="shared" si="2"/>
        <v>73769517776.319992</v>
      </c>
      <c r="H7" s="106">
        <f t="shared" si="2"/>
        <v>40813507752.970001</v>
      </c>
      <c r="I7" s="107">
        <f t="shared" si="0"/>
        <v>0.52607502703981279</v>
      </c>
      <c r="J7" s="107">
        <f t="shared" si="1"/>
        <v>0.37995413585174631</v>
      </c>
      <c r="L7" s="101"/>
    </row>
    <row r="8" spans="2:12" ht="39" customHeight="1" thickBot="1" x14ac:dyDescent="0.35">
      <c r="B8" s="102" t="str">
        <f>+'SEG.PTAL-DR '!H27</f>
        <v>IMPLEMENTACION DEL PROGRAMA DE FORTALECIMIENTO DE LA AGENCIA DE DEFENSA JURIDICA A NIVEL NACIONAL</v>
      </c>
      <c r="C8" s="99">
        <f>+'SEG.PTAL-DR '!I27</f>
        <v>12266327000</v>
      </c>
      <c r="D8" s="99">
        <f>+'SEG.PTAL-DR '!J27</f>
        <v>9660303276</v>
      </c>
      <c r="E8" s="99">
        <f>+'SEG.PTAL-DR '!K27</f>
        <v>2405150102</v>
      </c>
      <c r="F8" s="99">
        <f>+'SEG.PTAL-DR '!L27</f>
        <v>2883104835</v>
      </c>
      <c r="G8" s="99">
        <f>+'SEG.PTAL-DR '!M27</f>
        <v>2883104835</v>
      </c>
      <c r="H8" s="99">
        <f>+'SEG.PTAL-DR '!N27</f>
        <v>200873622</v>
      </c>
      <c r="I8" s="100">
        <f t="shared" si="0"/>
        <v>0.78754653092160354</v>
      </c>
      <c r="J8" s="100">
        <f t="shared" si="1"/>
        <v>0.2350422286149717</v>
      </c>
    </row>
    <row r="9" spans="2:12" ht="18" customHeight="1" thickBot="1" x14ac:dyDescent="0.35">
      <c r="B9" s="105" t="s">
        <v>156</v>
      </c>
      <c r="C9" s="106">
        <f t="shared" ref="C9:H9" si="3">+C8</f>
        <v>12266327000</v>
      </c>
      <c r="D9" s="106">
        <f t="shared" si="3"/>
        <v>9660303276</v>
      </c>
      <c r="E9" s="106">
        <f t="shared" si="3"/>
        <v>2405150102</v>
      </c>
      <c r="F9" s="106">
        <f t="shared" si="3"/>
        <v>2883104835</v>
      </c>
      <c r="G9" s="106">
        <f t="shared" si="3"/>
        <v>2883104835</v>
      </c>
      <c r="H9" s="106">
        <f t="shared" si="3"/>
        <v>200873622</v>
      </c>
      <c r="I9" s="107">
        <f t="shared" si="0"/>
        <v>0.78754653092160354</v>
      </c>
      <c r="J9" s="107">
        <f t="shared" si="1"/>
        <v>0.2350422286149717</v>
      </c>
    </row>
    <row r="10" spans="2:12" ht="27" customHeight="1" thickBot="1" x14ac:dyDescent="0.35">
      <c r="B10" s="108" t="s">
        <v>175</v>
      </c>
      <c r="C10" s="109">
        <f>+C7+C9</f>
        <v>207758072544</v>
      </c>
      <c r="D10" s="109">
        <f>+D7+D9</f>
        <v>112503628599.12001</v>
      </c>
      <c r="E10" s="109">
        <f t="shared" ref="E10:G10" si="4">+E7+E9</f>
        <v>48023601332.709991</v>
      </c>
      <c r="F10" s="109">
        <f t="shared" si="4"/>
        <v>77161002079.319992</v>
      </c>
      <c r="G10" s="109">
        <f t="shared" si="4"/>
        <v>76652622611.319992</v>
      </c>
      <c r="H10" s="109">
        <f>+H7+H9</f>
        <v>41014381374.970001</v>
      </c>
      <c r="I10" s="110">
        <f t="shared" si="0"/>
        <v>0.54151267010476067</v>
      </c>
      <c r="J10" s="284">
        <f t="shared" si="1"/>
        <v>0.37139833429566721</v>
      </c>
    </row>
    <row r="11" spans="2:12" ht="14.4" thickBot="1" x14ac:dyDescent="0.35">
      <c r="B11" s="102" t="s">
        <v>181</v>
      </c>
      <c r="C11" s="99"/>
      <c r="D11" s="99"/>
      <c r="E11" s="99"/>
      <c r="F11" s="99"/>
      <c r="G11" s="99"/>
      <c r="H11" s="99"/>
      <c r="I11" s="100"/>
      <c r="J11" s="100"/>
      <c r="K11" s="103"/>
    </row>
    <row r="12" spans="2:12" ht="17.399999999999999" thickBot="1" x14ac:dyDescent="0.35">
      <c r="B12" s="108" t="s">
        <v>182</v>
      </c>
      <c r="C12" s="109">
        <f>+C10+C11</f>
        <v>207758072544</v>
      </c>
      <c r="D12" s="109">
        <f>+D10</f>
        <v>112503628599.12001</v>
      </c>
      <c r="E12" s="109">
        <f>+E10</f>
        <v>48023601332.709991</v>
      </c>
      <c r="F12" s="109">
        <f>+F10</f>
        <v>77161002079.319992</v>
      </c>
      <c r="G12" s="109">
        <f>+G10</f>
        <v>76652622611.319992</v>
      </c>
      <c r="H12" s="109">
        <f>+H10</f>
        <v>41014381374.970001</v>
      </c>
      <c r="I12" s="110">
        <f>+D12/C12</f>
        <v>0.54151267010476067</v>
      </c>
      <c r="J12" s="284">
        <f>+F12/C12</f>
        <v>0.37139833429566721</v>
      </c>
      <c r="K12" s="104"/>
    </row>
    <row r="13" spans="2:12" x14ac:dyDescent="0.3">
      <c r="C13" s="116"/>
    </row>
    <row r="14" spans="2:12" x14ac:dyDescent="0.3">
      <c r="D14" s="97" t="s">
        <v>2</v>
      </c>
    </row>
    <row r="15" spans="2:12" x14ac:dyDescent="0.3">
      <c r="C15" s="116"/>
      <c r="D15" s="265"/>
    </row>
    <row r="16" spans="2:12" x14ac:dyDescent="0.3">
      <c r="D16" s="265"/>
    </row>
    <row r="17" spans="4:4" x14ac:dyDescent="0.3">
      <c r="D17" s="265"/>
    </row>
    <row r="18" spans="4:4" x14ac:dyDescent="0.3">
      <c r="D18" s="266"/>
    </row>
    <row r="20" spans="4:4" x14ac:dyDescent="0.3">
      <c r="D20" s="267"/>
    </row>
    <row r="22" spans="4:4" x14ac:dyDescent="0.3">
      <c r="D22" s="116"/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&amp;LGF-F-17 Versión 002.</oddFooter>
  </headerFooter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C18"/>
  <sheetViews>
    <sheetView showGridLines="0" topLeftCell="C1" zoomScaleNormal="100" workbookViewId="0">
      <selection activeCell="Q18" sqref="Q18"/>
    </sheetView>
  </sheetViews>
  <sheetFormatPr baseColWidth="10" defaultColWidth="11.5546875" defaultRowHeight="14.4" x14ac:dyDescent="0.3"/>
  <cols>
    <col min="1" max="1" width="13.44140625" style="368" customWidth="1"/>
    <col min="2" max="2" width="26.88671875" style="368" customWidth="1"/>
    <col min="3" max="3" width="21.5546875" style="368" customWidth="1"/>
    <col min="4" max="11" width="5.44140625" style="368" customWidth="1"/>
    <col min="12" max="12" width="7" style="368" customWidth="1"/>
    <col min="13" max="13" width="9.6640625" style="368" customWidth="1"/>
    <col min="14" max="14" width="8.109375" style="368" customWidth="1"/>
    <col min="15" max="15" width="9.6640625" style="368" customWidth="1"/>
    <col min="16" max="16" width="27.6640625" style="368" customWidth="1"/>
    <col min="17" max="27" width="18.88671875" style="368" customWidth="1"/>
    <col min="28" max="28" width="0" style="368" hidden="1" customWidth="1"/>
    <col min="29" max="29" width="17.6640625" style="368" bestFit="1" customWidth="1"/>
    <col min="30" max="16384" width="11.5546875" style="368"/>
  </cols>
  <sheetData>
    <row r="1" spans="1:29" x14ac:dyDescent="0.3">
      <c r="A1" s="366" t="s">
        <v>183</v>
      </c>
      <c r="B1" s="366">
        <v>2025</v>
      </c>
      <c r="C1" s="365" t="s">
        <v>59</v>
      </c>
      <c r="D1" s="365" t="s">
        <v>59</v>
      </c>
      <c r="E1" s="365" t="s">
        <v>59</v>
      </c>
      <c r="F1" s="365" t="s">
        <v>59</v>
      </c>
      <c r="G1" s="365" t="s">
        <v>59</v>
      </c>
      <c r="H1" s="365" t="s">
        <v>59</v>
      </c>
      <c r="I1" s="365" t="s">
        <v>59</v>
      </c>
      <c r="J1" s="365" t="s">
        <v>59</v>
      </c>
      <c r="K1" s="365" t="s">
        <v>59</v>
      </c>
      <c r="L1" s="365" t="s">
        <v>59</v>
      </c>
      <c r="M1" s="365" t="s">
        <v>59</v>
      </c>
      <c r="N1" s="365" t="s">
        <v>59</v>
      </c>
      <c r="O1" s="365" t="s">
        <v>59</v>
      </c>
      <c r="P1" s="365" t="s">
        <v>59</v>
      </c>
      <c r="Q1" s="365" t="s">
        <v>59</v>
      </c>
      <c r="R1" s="365" t="s">
        <v>59</v>
      </c>
      <c r="S1" s="365" t="s">
        <v>59</v>
      </c>
      <c r="T1" s="365" t="s">
        <v>59</v>
      </c>
      <c r="U1" s="365" t="s">
        <v>59</v>
      </c>
      <c r="V1" s="365" t="s">
        <v>59</v>
      </c>
      <c r="W1" s="365" t="s">
        <v>59</v>
      </c>
      <c r="X1" s="365" t="s">
        <v>59</v>
      </c>
      <c r="Y1" s="365" t="s">
        <v>59</v>
      </c>
      <c r="Z1" s="365" t="s">
        <v>59</v>
      </c>
      <c r="AA1" s="365" t="s">
        <v>59</v>
      </c>
    </row>
    <row r="2" spans="1:29" x14ac:dyDescent="0.3">
      <c r="A2" s="366" t="s">
        <v>184</v>
      </c>
      <c r="B2" s="366" t="s">
        <v>185</v>
      </c>
      <c r="C2" s="365" t="s">
        <v>59</v>
      </c>
      <c r="D2" s="365" t="s">
        <v>59</v>
      </c>
      <c r="E2" s="365" t="s">
        <v>59</v>
      </c>
      <c r="F2" s="365" t="s">
        <v>59</v>
      </c>
      <c r="G2" s="365" t="s">
        <v>59</v>
      </c>
      <c r="H2" s="365" t="s">
        <v>59</v>
      </c>
      <c r="I2" s="365" t="s">
        <v>59</v>
      </c>
      <c r="J2" s="365" t="s">
        <v>59</v>
      </c>
      <c r="K2" s="365" t="s">
        <v>59</v>
      </c>
      <c r="L2" s="365" t="s">
        <v>59</v>
      </c>
      <c r="M2" s="365" t="s">
        <v>59</v>
      </c>
      <c r="N2" s="365" t="s">
        <v>59</v>
      </c>
      <c r="O2" s="365" t="s">
        <v>59</v>
      </c>
      <c r="P2" s="365" t="s">
        <v>59</v>
      </c>
      <c r="Q2" s="365" t="s">
        <v>59</v>
      </c>
      <c r="R2" s="365" t="s">
        <v>59</v>
      </c>
      <c r="S2" s="365" t="s">
        <v>59</v>
      </c>
      <c r="T2" s="365" t="s">
        <v>59</v>
      </c>
      <c r="U2" s="365" t="s">
        <v>59</v>
      </c>
      <c r="V2" s="365" t="s">
        <v>59</v>
      </c>
      <c r="W2" s="365" t="s">
        <v>59</v>
      </c>
      <c r="X2" s="365" t="s">
        <v>59</v>
      </c>
      <c r="Y2" s="365" t="s">
        <v>59</v>
      </c>
      <c r="Z2" s="365" t="s">
        <v>59</v>
      </c>
      <c r="AA2" s="365" t="s">
        <v>59</v>
      </c>
    </row>
    <row r="3" spans="1:29" x14ac:dyDescent="0.3">
      <c r="A3" s="366" t="s">
        <v>186</v>
      </c>
      <c r="B3" s="366" t="s">
        <v>359</v>
      </c>
      <c r="C3" s="365" t="s">
        <v>59</v>
      </c>
      <c r="D3" s="365" t="s">
        <v>59</v>
      </c>
      <c r="E3" s="365" t="s">
        <v>59</v>
      </c>
      <c r="F3" s="365" t="s">
        <v>59</v>
      </c>
      <c r="G3" s="365" t="s">
        <v>59</v>
      </c>
      <c r="H3" s="365" t="s">
        <v>59</v>
      </c>
      <c r="I3" s="365" t="s">
        <v>59</v>
      </c>
      <c r="J3" s="365" t="s">
        <v>59</v>
      </c>
      <c r="K3" s="365" t="s">
        <v>59</v>
      </c>
      <c r="L3" s="365" t="s">
        <v>59</v>
      </c>
      <c r="M3" s="365" t="s">
        <v>59</v>
      </c>
      <c r="N3" s="365" t="s">
        <v>59</v>
      </c>
      <c r="O3" s="365" t="s">
        <v>59</v>
      </c>
      <c r="P3" s="365" t="s">
        <v>59</v>
      </c>
      <c r="Q3" s="365" t="s">
        <v>59</v>
      </c>
      <c r="R3" s="365" t="s">
        <v>59</v>
      </c>
      <c r="S3" s="365" t="s">
        <v>59</v>
      </c>
      <c r="T3" s="365" t="s">
        <v>59</v>
      </c>
      <c r="U3" s="365" t="s">
        <v>59</v>
      </c>
      <c r="V3" s="365" t="s">
        <v>59</v>
      </c>
      <c r="W3" s="365" t="s">
        <v>59</v>
      </c>
      <c r="X3" s="365" t="s">
        <v>59</v>
      </c>
      <c r="Y3" s="365" t="s">
        <v>59</v>
      </c>
      <c r="Z3" s="365" t="s">
        <v>59</v>
      </c>
      <c r="AA3" s="365" t="s">
        <v>59</v>
      </c>
    </row>
    <row r="4" spans="1:29" x14ac:dyDescent="0.3">
      <c r="A4" s="366" t="s">
        <v>187</v>
      </c>
      <c r="B4" s="366" t="s">
        <v>188</v>
      </c>
      <c r="C4" s="366" t="s">
        <v>189</v>
      </c>
      <c r="D4" s="366" t="s">
        <v>190</v>
      </c>
      <c r="E4" s="366" t="s">
        <v>9</v>
      </c>
      <c r="F4" s="366" t="s">
        <v>10</v>
      </c>
      <c r="G4" s="366" t="s">
        <v>11</v>
      </c>
      <c r="H4" s="366" t="s">
        <v>12</v>
      </c>
      <c r="I4" s="366" t="s">
        <v>13</v>
      </c>
      <c r="J4" s="366" t="s">
        <v>14</v>
      </c>
      <c r="K4" s="366" t="s">
        <v>15</v>
      </c>
      <c r="L4" s="366" t="s">
        <v>191</v>
      </c>
      <c r="M4" s="366" t="s">
        <v>192</v>
      </c>
      <c r="N4" s="366" t="s">
        <v>193</v>
      </c>
      <c r="O4" s="366" t="s">
        <v>194</v>
      </c>
      <c r="P4" s="366" t="s">
        <v>16</v>
      </c>
      <c r="Q4" s="366" t="s">
        <v>195</v>
      </c>
      <c r="R4" s="366" t="s">
        <v>196</v>
      </c>
      <c r="S4" s="366" t="s">
        <v>197</v>
      </c>
      <c r="T4" s="366" t="s">
        <v>198</v>
      </c>
      <c r="U4" s="366" t="s">
        <v>199</v>
      </c>
      <c r="V4" s="366" t="s">
        <v>200</v>
      </c>
      <c r="W4" s="366" t="s">
        <v>201</v>
      </c>
      <c r="X4" s="366" t="s">
        <v>202</v>
      </c>
      <c r="Y4" s="366" t="s">
        <v>203</v>
      </c>
      <c r="Z4" s="366" t="s">
        <v>204</v>
      </c>
      <c r="AA4" s="366" t="s">
        <v>24</v>
      </c>
    </row>
    <row r="5" spans="1:29" ht="14.25" customHeight="1" x14ac:dyDescent="0.3">
      <c r="A5" s="400" t="s">
        <v>205</v>
      </c>
      <c r="B5" s="286" t="s">
        <v>206</v>
      </c>
      <c r="C5" s="401" t="s">
        <v>207</v>
      </c>
      <c r="D5" s="400" t="s">
        <v>134</v>
      </c>
      <c r="E5" s="400" t="s">
        <v>27</v>
      </c>
      <c r="F5" s="400" t="s">
        <v>27</v>
      </c>
      <c r="G5" s="400" t="s">
        <v>27</v>
      </c>
      <c r="H5" s="400"/>
      <c r="I5" s="400"/>
      <c r="J5" s="400"/>
      <c r="K5" s="400"/>
      <c r="L5" s="400"/>
      <c r="M5" s="400" t="s">
        <v>208</v>
      </c>
      <c r="N5" s="400" t="s">
        <v>209</v>
      </c>
      <c r="O5" s="400" t="s">
        <v>210</v>
      </c>
      <c r="P5" s="286" t="s">
        <v>29</v>
      </c>
      <c r="Q5" s="402">
        <v>40005200000</v>
      </c>
      <c r="R5" s="402">
        <v>0</v>
      </c>
      <c r="S5" s="402">
        <v>0</v>
      </c>
      <c r="T5" s="402">
        <v>40005200000</v>
      </c>
      <c r="U5" s="402">
        <v>0</v>
      </c>
      <c r="V5" s="402">
        <v>40005200000</v>
      </c>
      <c r="W5" s="402">
        <v>0</v>
      </c>
      <c r="X5" s="402">
        <v>22928157591</v>
      </c>
      <c r="Y5" s="402">
        <v>22897626525</v>
      </c>
      <c r="Z5" s="402">
        <v>22897626525</v>
      </c>
      <c r="AA5" s="402">
        <v>22897626525</v>
      </c>
      <c r="AC5" s="402">
        <f>+V5-X5</f>
        <v>17077042409</v>
      </c>
    </row>
    <row r="6" spans="1:29" ht="14.25" customHeight="1" x14ac:dyDescent="0.3">
      <c r="A6" s="400" t="s">
        <v>205</v>
      </c>
      <c r="B6" s="286" t="s">
        <v>206</v>
      </c>
      <c r="C6" s="401" t="s">
        <v>211</v>
      </c>
      <c r="D6" s="400" t="s">
        <v>134</v>
      </c>
      <c r="E6" s="400" t="s">
        <v>27</v>
      </c>
      <c r="F6" s="400" t="s">
        <v>27</v>
      </c>
      <c r="G6" s="400" t="s">
        <v>45</v>
      </c>
      <c r="H6" s="400"/>
      <c r="I6" s="400"/>
      <c r="J6" s="400"/>
      <c r="K6" s="400"/>
      <c r="L6" s="400"/>
      <c r="M6" s="400" t="s">
        <v>208</v>
      </c>
      <c r="N6" s="400" t="s">
        <v>209</v>
      </c>
      <c r="O6" s="400" t="s">
        <v>210</v>
      </c>
      <c r="P6" s="286" t="s">
        <v>46</v>
      </c>
      <c r="Q6" s="402">
        <v>13920200000</v>
      </c>
      <c r="R6" s="402">
        <v>0</v>
      </c>
      <c r="S6" s="402">
        <v>0</v>
      </c>
      <c r="T6" s="402">
        <v>13920200000</v>
      </c>
      <c r="U6" s="402">
        <v>0</v>
      </c>
      <c r="V6" s="402">
        <v>13920200000</v>
      </c>
      <c r="W6" s="402">
        <v>0</v>
      </c>
      <c r="X6" s="402">
        <v>8485064271.6499996</v>
      </c>
      <c r="Y6" s="402">
        <v>8485064271.6499996</v>
      </c>
      <c r="Z6" s="402">
        <v>8485064271.6499996</v>
      </c>
      <c r="AA6" s="402">
        <v>7980388092.6499996</v>
      </c>
      <c r="AC6" s="402">
        <f t="shared" ref="AC6:AC17" si="0">+V6-X6</f>
        <v>5435135728.3500004</v>
      </c>
    </row>
    <row r="7" spans="1:29" ht="14.25" customHeight="1" x14ac:dyDescent="0.3">
      <c r="A7" s="400" t="s">
        <v>205</v>
      </c>
      <c r="B7" s="286" t="s">
        <v>206</v>
      </c>
      <c r="C7" s="401" t="s">
        <v>212</v>
      </c>
      <c r="D7" s="400" t="s">
        <v>134</v>
      </c>
      <c r="E7" s="400" t="s">
        <v>27</v>
      </c>
      <c r="F7" s="400" t="s">
        <v>27</v>
      </c>
      <c r="G7" s="400" t="s">
        <v>57</v>
      </c>
      <c r="H7" s="400"/>
      <c r="I7" s="400"/>
      <c r="J7" s="400"/>
      <c r="K7" s="400"/>
      <c r="L7" s="400"/>
      <c r="M7" s="400" t="s">
        <v>208</v>
      </c>
      <c r="N7" s="400" t="s">
        <v>209</v>
      </c>
      <c r="O7" s="400" t="s">
        <v>210</v>
      </c>
      <c r="P7" s="286" t="s">
        <v>58</v>
      </c>
      <c r="Q7" s="402">
        <v>4461400000</v>
      </c>
      <c r="R7" s="402">
        <v>0</v>
      </c>
      <c r="S7" s="402">
        <v>0</v>
      </c>
      <c r="T7" s="402">
        <v>4461400000</v>
      </c>
      <c r="U7" s="402">
        <v>0</v>
      </c>
      <c r="V7" s="402">
        <v>4461400000</v>
      </c>
      <c r="W7" s="402">
        <v>0</v>
      </c>
      <c r="X7" s="402">
        <v>1964898675</v>
      </c>
      <c r="Y7" s="402">
        <v>1961880813</v>
      </c>
      <c r="Z7" s="402">
        <v>1961880813</v>
      </c>
      <c r="AA7" s="402">
        <v>1961880813</v>
      </c>
      <c r="AC7" s="402">
        <f t="shared" si="0"/>
        <v>2496501325</v>
      </c>
    </row>
    <row r="8" spans="1:29" ht="14.25" customHeight="1" x14ac:dyDescent="0.3">
      <c r="A8" s="400" t="s">
        <v>205</v>
      </c>
      <c r="B8" s="286" t="s">
        <v>206</v>
      </c>
      <c r="C8" s="401" t="s">
        <v>213</v>
      </c>
      <c r="D8" s="400" t="s">
        <v>134</v>
      </c>
      <c r="E8" s="400" t="s">
        <v>27</v>
      </c>
      <c r="F8" s="400" t="s">
        <v>27</v>
      </c>
      <c r="G8" s="400" t="s">
        <v>121</v>
      </c>
      <c r="H8" s="400"/>
      <c r="I8" s="400"/>
      <c r="J8" s="400"/>
      <c r="K8" s="400"/>
      <c r="L8" s="400"/>
      <c r="M8" s="400" t="s">
        <v>208</v>
      </c>
      <c r="N8" s="400" t="s">
        <v>209</v>
      </c>
      <c r="O8" s="400" t="s">
        <v>210</v>
      </c>
      <c r="P8" s="286" t="s">
        <v>70</v>
      </c>
      <c r="Q8" s="402">
        <v>8294500000</v>
      </c>
      <c r="R8" s="402">
        <v>0</v>
      </c>
      <c r="S8" s="402">
        <v>0</v>
      </c>
      <c r="T8" s="402">
        <v>8294500000</v>
      </c>
      <c r="U8" s="402">
        <v>8294500000</v>
      </c>
      <c r="V8" s="402">
        <v>0</v>
      </c>
      <c r="W8" s="402">
        <v>0</v>
      </c>
      <c r="X8" s="402">
        <v>0</v>
      </c>
      <c r="Y8" s="402">
        <v>0</v>
      </c>
      <c r="Z8" s="402">
        <v>0</v>
      </c>
      <c r="AA8" s="402">
        <v>0</v>
      </c>
      <c r="AC8" s="402">
        <f t="shared" si="0"/>
        <v>0</v>
      </c>
    </row>
    <row r="9" spans="1:29" ht="14.25" customHeight="1" x14ac:dyDescent="0.3">
      <c r="A9" s="400" t="s">
        <v>205</v>
      </c>
      <c r="B9" s="286" t="s">
        <v>206</v>
      </c>
      <c r="C9" s="401" t="s">
        <v>214</v>
      </c>
      <c r="D9" s="400" t="s">
        <v>134</v>
      </c>
      <c r="E9" s="400" t="s">
        <v>45</v>
      </c>
      <c r="F9" s="400"/>
      <c r="G9" s="400"/>
      <c r="H9" s="400"/>
      <c r="I9" s="400"/>
      <c r="J9" s="400"/>
      <c r="K9" s="400"/>
      <c r="L9" s="400"/>
      <c r="M9" s="400" t="s">
        <v>208</v>
      </c>
      <c r="N9" s="400" t="s">
        <v>209</v>
      </c>
      <c r="O9" s="400" t="s">
        <v>210</v>
      </c>
      <c r="P9" s="286" t="s">
        <v>71</v>
      </c>
      <c r="Q9" s="402">
        <v>18832000000</v>
      </c>
      <c r="R9" s="402">
        <v>5000000000</v>
      </c>
      <c r="S9" s="402">
        <v>0</v>
      </c>
      <c r="T9" s="402">
        <v>23832000000</v>
      </c>
      <c r="U9" s="402">
        <v>0</v>
      </c>
      <c r="V9" s="402">
        <v>19110868806.610001</v>
      </c>
      <c r="W9" s="402">
        <v>4721131193.3900003</v>
      </c>
      <c r="X9" s="402">
        <v>16222244509.23</v>
      </c>
      <c r="Y9" s="402">
        <v>10299976669.77</v>
      </c>
      <c r="Z9" s="402">
        <v>10299976669.77</v>
      </c>
      <c r="AA9" s="402">
        <v>10296273380.77</v>
      </c>
      <c r="AC9" s="402">
        <f t="shared" si="0"/>
        <v>2888624297.3800011</v>
      </c>
    </row>
    <row r="10" spans="1:29" ht="14.25" customHeight="1" x14ac:dyDescent="0.3">
      <c r="A10" s="400" t="s">
        <v>205</v>
      </c>
      <c r="B10" s="286" t="s">
        <v>206</v>
      </c>
      <c r="C10" s="401" t="s">
        <v>215</v>
      </c>
      <c r="D10" s="400" t="s">
        <v>134</v>
      </c>
      <c r="E10" s="400" t="s">
        <v>57</v>
      </c>
      <c r="F10" s="400" t="s">
        <v>57</v>
      </c>
      <c r="G10" s="400" t="s">
        <v>27</v>
      </c>
      <c r="H10" s="400" t="s">
        <v>216</v>
      </c>
      <c r="I10" s="400"/>
      <c r="J10" s="400"/>
      <c r="K10" s="400"/>
      <c r="L10" s="400"/>
      <c r="M10" s="400" t="s">
        <v>208</v>
      </c>
      <c r="N10" s="400" t="s">
        <v>209</v>
      </c>
      <c r="O10" s="400" t="s">
        <v>210</v>
      </c>
      <c r="P10" s="286" t="s">
        <v>119</v>
      </c>
      <c r="Q10" s="402">
        <v>51736700000</v>
      </c>
      <c r="R10" s="402">
        <v>35878480154</v>
      </c>
      <c r="S10" s="402">
        <v>0</v>
      </c>
      <c r="T10" s="402">
        <v>87615180154</v>
      </c>
      <c r="U10" s="402">
        <v>0</v>
      </c>
      <c r="V10" s="402">
        <v>56906139186.610001</v>
      </c>
      <c r="W10" s="402">
        <v>30709040967.389999</v>
      </c>
      <c r="X10" s="402">
        <v>42123251619.940002</v>
      </c>
      <c r="Y10" s="402">
        <v>19538961850.599998</v>
      </c>
      <c r="Z10" s="402">
        <v>19538961850.599998</v>
      </c>
      <c r="AA10" s="402">
        <v>19538961850.599998</v>
      </c>
      <c r="AC10" s="402">
        <f t="shared" si="0"/>
        <v>14782887566.669998</v>
      </c>
    </row>
    <row r="11" spans="1:29" ht="14.25" customHeight="1" x14ac:dyDescent="0.3">
      <c r="A11" s="400" t="s">
        <v>205</v>
      </c>
      <c r="B11" s="286" t="s">
        <v>206</v>
      </c>
      <c r="C11" s="401" t="s">
        <v>217</v>
      </c>
      <c r="D11" s="400" t="s">
        <v>134</v>
      </c>
      <c r="E11" s="400" t="s">
        <v>57</v>
      </c>
      <c r="F11" s="400" t="s">
        <v>57</v>
      </c>
      <c r="G11" s="400" t="s">
        <v>27</v>
      </c>
      <c r="H11" s="400" t="s">
        <v>218</v>
      </c>
      <c r="I11" s="400"/>
      <c r="J11" s="400"/>
      <c r="K11" s="400"/>
      <c r="L11" s="400"/>
      <c r="M11" s="400" t="s">
        <v>208</v>
      </c>
      <c r="N11" s="400" t="s">
        <v>209</v>
      </c>
      <c r="O11" s="400" t="s">
        <v>210</v>
      </c>
      <c r="P11" s="286" t="s">
        <v>120</v>
      </c>
      <c r="Q11" s="402">
        <v>5000000000</v>
      </c>
      <c r="R11" s="402">
        <v>0</v>
      </c>
      <c r="S11" s="402">
        <v>5000000000</v>
      </c>
      <c r="T11" s="402">
        <v>0</v>
      </c>
      <c r="U11" s="402">
        <v>0</v>
      </c>
      <c r="V11" s="402">
        <v>0</v>
      </c>
      <c r="W11" s="402">
        <v>0</v>
      </c>
      <c r="X11" s="402">
        <v>0</v>
      </c>
      <c r="Y11" s="402">
        <v>0</v>
      </c>
      <c r="Z11" s="402">
        <v>0</v>
      </c>
      <c r="AA11" s="402">
        <v>0</v>
      </c>
      <c r="AC11" s="402">
        <f t="shared" si="0"/>
        <v>0</v>
      </c>
    </row>
    <row r="12" spans="1:29" ht="14.25" customHeight="1" x14ac:dyDescent="0.3">
      <c r="A12" s="400" t="s">
        <v>205</v>
      </c>
      <c r="B12" s="286" t="s">
        <v>206</v>
      </c>
      <c r="C12" s="401" t="s">
        <v>219</v>
      </c>
      <c r="D12" s="400" t="s">
        <v>134</v>
      </c>
      <c r="E12" s="400" t="s">
        <v>57</v>
      </c>
      <c r="F12" s="400" t="s">
        <v>121</v>
      </c>
      <c r="G12" s="400" t="s">
        <v>45</v>
      </c>
      <c r="H12" s="400" t="s">
        <v>124</v>
      </c>
      <c r="I12" s="400"/>
      <c r="J12" s="400"/>
      <c r="K12" s="400"/>
      <c r="L12" s="400"/>
      <c r="M12" s="400" t="s">
        <v>208</v>
      </c>
      <c r="N12" s="400" t="s">
        <v>209</v>
      </c>
      <c r="O12" s="400" t="s">
        <v>210</v>
      </c>
      <c r="P12" s="286" t="s">
        <v>220</v>
      </c>
      <c r="Q12" s="402">
        <v>262700000</v>
      </c>
      <c r="R12" s="402">
        <v>0</v>
      </c>
      <c r="S12" s="402">
        <v>0</v>
      </c>
      <c r="T12" s="402">
        <v>262700000</v>
      </c>
      <c r="U12" s="402">
        <v>0</v>
      </c>
      <c r="V12" s="402">
        <v>262700000</v>
      </c>
      <c r="W12" s="402">
        <v>0</v>
      </c>
      <c r="X12" s="402">
        <v>100409779</v>
      </c>
      <c r="Y12" s="402">
        <v>75088237</v>
      </c>
      <c r="Z12" s="402">
        <v>75088237</v>
      </c>
      <c r="AA12" s="402">
        <v>75088237</v>
      </c>
      <c r="AC12" s="402">
        <f t="shared" si="0"/>
        <v>162290221</v>
      </c>
    </row>
    <row r="13" spans="1:29" ht="14.25" customHeight="1" x14ac:dyDescent="0.3">
      <c r="A13" s="400" t="s">
        <v>205</v>
      </c>
      <c r="B13" s="286" t="s">
        <v>206</v>
      </c>
      <c r="C13" s="401" t="s">
        <v>221</v>
      </c>
      <c r="D13" s="400" t="s">
        <v>134</v>
      </c>
      <c r="E13" s="400" t="s">
        <v>57</v>
      </c>
      <c r="F13" s="400" t="s">
        <v>209</v>
      </c>
      <c r="G13" s="400"/>
      <c r="H13" s="400"/>
      <c r="I13" s="400"/>
      <c r="J13" s="400"/>
      <c r="K13" s="400"/>
      <c r="L13" s="400"/>
      <c r="M13" s="400" t="s">
        <v>208</v>
      </c>
      <c r="N13" s="400" t="s">
        <v>209</v>
      </c>
      <c r="O13" s="400" t="s">
        <v>210</v>
      </c>
      <c r="P13" s="286" t="s">
        <v>127</v>
      </c>
      <c r="Q13" s="402">
        <v>108800000</v>
      </c>
      <c r="R13" s="402">
        <v>65098917935</v>
      </c>
      <c r="S13" s="402">
        <v>48406252545</v>
      </c>
      <c r="T13" s="402">
        <v>16801465390</v>
      </c>
      <c r="U13" s="402">
        <v>0.2</v>
      </c>
      <c r="V13" s="402">
        <v>15428255003.799999</v>
      </c>
      <c r="W13" s="402">
        <v>1373210386</v>
      </c>
      <c r="X13" s="402">
        <v>11019298877.299999</v>
      </c>
      <c r="Y13" s="402">
        <v>11019298877.299999</v>
      </c>
      <c r="Z13" s="402">
        <v>11019298877.299999</v>
      </c>
      <c r="AA13" s="402">
        <v>11019298877.299999</v>
      </c>
      <c r="AC13" s="402">
        <f t="shared" si="0"/>
        <v>4408956126.5</v>
      </c>
    </row>
    <row r="14" spans="1:29" ht="14.25" customHeight="1" x14ac:dyDescent="0.3">
      <c r="A14" s="400" t="s">
        <v>205</v>
      </c>
      <c r="B14" s="286" t="s">
        <v>206</v>
      </c>
      <c r="C14" s="401" t="s">
        <v>222</v>
      </c>
      <c r="D14" s="400" t="s">
        <v>134</v>
      </c>
      <c r="E14" s="400" t="s">
        <v>130</v>
      </c>
      <c r="F14" s="400" t="s">
        <v>121</v>
      </c>
      <c r="G14" s="400" t="s">
        <v>27</v>
      </c>
      <c r="H14" s="400"/>
      <c r="I14" s="400"/>
      <c r="J14" s="400"/>
      <c r="K14" s="400"/>
      <c r="L14" s="400"/>
      <c r="M14" s="400" t="s">
        <v>208</v>
      </c>
      <c r="N14" s="400" t="s">
        <v>223</v>
      </c>
      <c r="O14" s="400" t="s">
        <v>224</v>
      </c>
      <c r="P14" s="286" t="s">
        <v>133</v>
      </c>
      <c r="Q14" s="402">
        <v>299100000</v>
      </c>
      <c r="R14" s="402">
        <v>0</v>
      </c>
      <c r="S14" s="402">
        <v>0</v>
      </c>
      <c r="T14" s="402">
        <v>299100000</v>
      </c>
      <c r="U14" s="402">
        <v>0</v>
      </c>
      <c r="V14" s="402">
        <v>299100000</v>
      </c>
      <c r="W14" s="402">
        <v>0</v>
      </c>
      <c r="X14" s="402">
        <v>0</v>
      </c>
      <c r="Y14" s="402">
        <v>0</v>
      </c>
      <c r="Z14" s="402">
        <v>0</v>
      </c>
      <c r="AA14" s="402">
        <v>0</v>
      </c>
      <c r="AC14" s="402">
        <f t="shared" si="0"/>
        <v>299100000</v>
      </c>
    </row>
    <row r="15" spans="1:29" x14ac:dyDescent="0.3">
      <c r="A15" s="400" t="s">
        <v>205</v>
      </c>
      <c r="B15" s="286" t="s">
        <v>206</v>
      </c>
      <c r="C15" s="401" t="s">
        <v>225</v>
      </c>
      <c r="D15" s="400" t="s">
        <v>151</v>
      </c>
      <c r="E15" s="400" t="s">
        <v>136</v>
      </c>
      <c r="F15" s="400" t="s">
        <v>137</v>
      </c>
      <c r="G15" s="400" t="s">
        <v>226</v>
      </c>
      <c r="H15" s="400" t="s">
        <v>139</v>
      </c>
      <c r="I15" s="400"/>
      <c r="J15" s="400"/>
      <c r="K15" s="400"/>
      <c r="L15" s="400"/>
      <c r="M15" s="400" t="s">
        <v>208</v>
      </c>
      <c r="N15" s="400" t="s">
        <v>209</v>
      </c>
      <c r="O15" s="400" t="s">
        <v>210</v>
      </c>
      <c r="P15" s="286" t="s">
        <v>227</v>
      </c>
      <c r="Q15" s="402">
        <v>3713230542</v>
      </c>
      <c r="R15" s="402">
        <v>0</v>
      </c>
      <c r="S15" s="402">
        <v>0</v>
      </c>
      <c r="T15" s="402">
        <v>3713230542</v>
      </c>
      <c r="U15" s="402">
        <v>0</v>
      </c>
      <c r="V15" s="402">
        <v>3646703738</v>
      </c>
      <c r="W15" s="402">
        <v>66526804</v>
      </c>
      <c r="X15" s="402">
        <v>1990623300</v>
      </c>
      <c r="Y15" s="402">
        <v>525573040</v>
      </c>
      <c r="Z15" s="402">
        <v>525573040</v>
      </c>
      <c r="AA15" s="402">
        <v>525573040</v>
      </c>
      <c r="AC15" s="402">
        <f t="shared" si="0"/>
        <v>1656080438</v>
      </c>
    </row>
    <row r="16" spans="1:29" x14ac:dyDescent="0.3">
      <c r="A16" s="400" t="s">
        <v>205</v>
      </c>
      <c r="B16" s="286" t="s">
        <v>206</v>
      </c>
      <c r="C16" s="401" t="s">
        <v>225</v>
      </c>
      <c r="D16" s="400" t="s">
        <v>151</v>
      </c>
      <c r="E16" s="400" t="s">
        <v>136</v>
      </c>
      <c r="F16" s="400" t="s">
        <v>137</v>
      </c>
      <c r="G16" s="400" t="s">
        <v>226</v>
      </c>
      <c r="H16" s="400" t="s">
        <v>139</v>
      </c>
      <c r="I16" s="400"/>
      <c r="J16" s="400"/>
      <c r="K16" s="400"/>
      <c r="L16" s="400"/>
      <c r="M16" s="400" t="s">
        <v>208</v>
      </c>
      <c r="N16" s="400" t="s">
        <v>228</v>
      </c>
      <c r="O16" s="400" t="s">
        <v>210</v>
      </c>
      <c r="P16" s="286" t="s">
        <v>227</v>
      </c>
      <c r="Q16" s="402">
        <v>8553096458</v>
      </c>
      <c r="R16" s="402">
        <v>0</v>
      </c>
      <c r="S16" s="402">
        <v>0</v>
      </c>
      <c r="T16" s="402">
        <v>8553096458</v>
      </c>
      <c r="U16" s="402">
        <v>0</v>
      </c>
      <c r="V16" s="402">
        <v>8418749640</v>
      </c>
      <c r="W16" s="402">
        <v>134346818</v>
      </c>
      <c r="X16" s="402">
        <v>7669679976</v>
      </c>
      <c r="Y16" s="402">
        <v>2357531795</v>
      </c>
      <c r="Z16" s="402">
        <v>2357531795</v>
      </c>
      <c r="AA16" s="402">
        <v>2357531795</v>
      </c>
      <c r="AC16" s="402">
        <f t="shared" si="0"/>
        <v>749069664</v>
      </c>
    </row>
    <row r="17" spans="1:29" x14ac:dyDescent="0.3">
      <c r="A17" s="400" t="s">
        <v>59</v>
      </c>
      <c r="B17" s="286" t="s">
        <v>59</v>
      </c>
      <c r="C17" s="401" t="s">
        <v>59</v>
      </c>
      <c r="D17" s="400" t="s">
        <v>59</v>
      </c>
      <c r="E17" s="400" t="s">
        <v>59</v>
      </c>
      <c r="F17" s="400" t="s">
        <v>59</v>
      </c>
      <c r="G17" s="400" t="s">
        <v>59</v>
      </c>
      <c r="H17" s="400" t="s">
        <v>59</v>
      </c>
      <c r="I17" s="400" t="s">
        <v>59</v>
      </c>
      <c r="J17" s="400" t="s">
        <v>59</v>
      </c>
      <c r="K17" s="400" t="s">
        <v>59</v>
      </c>
      <c r="L17" s="400" t="s">
        <v>59</v>
      </c>
      <c r="M17" s="400" t="s">
        <v>59</v>
      </c>
      <c r="N17" s="400" t="s">
        <v>59</v>
      </c>
      <c r="O17" s="400" t="s">
        <v>59</v>
      </c>
      <c r="P17" s="286" t="s">
        <v>59</v>
      </c>
      <c r="Q17" s="402">
        <v>155186927000</v>
      </c>
      <c r="R17" s="402">
        <v>105977398089</v>
      </c>
      <c r="S17" s="402">
        <v>53406252545</v>
      </c>
      <c r="T17" s="402">
        <v>207758072544</v>
      </c>
      <c r="U17" s="402">
        <v>8294500000.1999998</v>
      </c>
      <c r="V17" s="402">
        <v>162459316375.01999</v>
      </c>
      <c r="W17" s="402">
        <v>37004256168.779999</v>
      </c>
      <c r="X17" s="402">
        <v>112503628599.12</v>
      </c>
      <c r="Y17" s="402">
        <v>77161002079.320007</v>
      </c>
      <c r="Z17" s="402">
        <v>77161002079.320007</v>
      </c>
      <c r="AA17" s="402">
        <v>76652622611.320007</v>
      </c>
      <c r="AC17" s="402">
        <f t="shared" si="0"/>
        <v>49955687775.899994</v>
      </c>
    </row>
    <row r="18" spans="1:29" x14ac:dyDescent="0.3">
      <c r="A18" s="400" t="s">
        <v>59</v>
      </c>
      <c r="B18" s="369" t="s">
        <v>59</v>
      </c>
      <c r="C18" s="401" t="s">
        <v>59</v>
      </c>
      <c r="D18" s="400" t="s">
        <v>59</v>
      </c>
      <c r="E18" s="400" t="s">
        <v>59</v>
      </c>
      <c r="F18" s="400" t="s">
        <v>59</v>
      </c>
      <c r="G18" s="400" t="s">
        <v>59</v>
      </c>
      <c r="H18" s="400" t="s">
        <v>59</v>
      </c>
      <c r="I18" s="400" t="s">
        <v>59</v>
      </c>
      <c r="J18" s="400" t="s">
        <v>59</v>
      </c>
      <c r="K18" s="400" t="s">
        <v>59</v>
      </c>
      <c r="L18" s="400" t="s">
        <v>59</v>
      </c>
      <c r="M18" s="400" t="s">
        <v>59</v>
      </c>
      <c r="N18" s="400" t="s">
        <v>59</v>
      </c>
      <c r="O18" s="400" t="s">
        <v>59</v>
      </c>
      <c r="P18" s="286" t="s">
        <v>59</v>
      </c>
      <c r="Q18" s="367" t="s">
        <v>59</v>
      </c>
      <c r="R18" s="367" t="s">
        <v>59</v>
      </c>
      <c r="S18" s="367" t="s">
        <v>59</v>
      </c>
      <c r="T18" s="367" t="s">
        <v>59</v>
      </c>
      <c r="U18" s="367" t="s">
        <v>59</v>
      </c>
      <c r="V18" s="367" t="s">
        <v>59</v>
      </c>
      <c r="W18" s="367" t="s">
        <v>59</v>
      </c>
      <c r="X18" s="367" t="s">
        <v>59</v>
      </c>
      <c r="Y18" s="367" t="s">
        <v>59</v>
      </c>
      <c r="Z18" s="367" t="s">
        <v>59</v>
      </c>
      <c r="AA18" s="367" t="s">
        <v>59</v>
      </c>
    </row>
  </sheetData>
  <autoFilter ref="A4:AC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B70"/>
  <sheetViews>
    <sheetView showGridLines="0" zoomScale="115" zoomScaleNormal="115" workbookViewId="0">
      <pane xSplit="3" ySplit="4" topLeftCell="P48" activePane="bottomRight" state="frozen"/>
      <selection pane="topRight" activeCell="D1" sqref="D1"/>
      <selection pane="bottomLeft" activeCell="A5" sqref="A5"/>
      <selection pane="bottomRight" activeCell="R55" sqref="R55"/>
    </sheetView>
  </sheetViews>
  <sheetFormatPr baseColWidth="10" defaultRowHeight="14.4" x14ac:dyDescent="0.3"/>
  <cols>
    <col min="1" max="1" width="9.109375" style="368" bestFit="1" customWidth="1"/>
    <col min="2" max="2" width="67.88671875" style="368" bestFit="1" customWidth="1"/>
    <col min="3" max="3" width="22.5546875" style="368" bestFit="1" customWidth="1"/>
    <col min="4" max="4" width="9.33203125" style="368" bestFit="1" customWidth="1"/>
    <col min="5" max="5" width="8.77734375" style="368" bestFit="1" customWidth="1"/>
    <col min="6" max="6" width="13.44140625" style="368" bestFit="1" customWidth="1"/>
    <col min="7" max="7" width="8.6640625" style="368" bestFit="1" customWidth="1"/>
    <col min="8" max="8" width="9" style="368" bestFit="1" customWidth="1"/>
    <col min="9" max="9" width="13.77734375" style="368" bestFit="1" customWidth="1"/>
    <col min="10" max="10" width="9.77734375" style="368" bestFit="1" customWidth="1"/>
    <col min="11" max="11" width="14.44140625" style="368" bestFit="1" customWidth="1"/>
    <col min="12" max="12" width="15.77734375" style="368" bestFit="1" customWidth="1"/>
    <col min="13" max="13" width="12" style="368" bestFit="1" customWidth="1"/>
    <col min="14" max="14" width="8.77734375" style="368" bestFit="1" customWidth="1"/>
    <col min="15" max="15" width="7.88671875" style="368" bestFit="1" customWidth="1"/>
    <col min="16" max="16" width="133.77734375" style="368" bestFit="1" customWidth="1"/>
    <col min="17" max="17" width="16.33203125" style="368" bestFit="1" customWidth="1"/>
    <col min="18" max="18" width="20.88671875" style="368" bestFit="1" customWidth="1"/>
    <col min="19" max="19" width="18.6640625" style="368" bestFit="1" customWidth="1"/>
    <col min="20" max="20" width="17.109375" style="368" bestFit="1" customWidth="1"/>
    <col min="21" max="21" width="20.109375" style="368" bestFit="1" customWidth="1"/>
    <col min="22" max="22" width="16.109375" style="368" customWidth="1"/>
    <col min="23" max="23" width="20" style="368" bestFit="1" customWidth="1"/>
    <col min="24" max="24" width="17.5546875" style="368" bestFit="1" customWidth="1"/>
    <col min="25" max="25" width="16.44140625" style="368" bestFit="1" customWidth="1"/>
    <col min="26" max="26" width="16.5546875" style="368" bestFit="1" customWidth="1"/>
    <col min="27" max="28" width="12.77734375" style="368" bestFit="1" customWidth="1"/>
    <col min="29" max="29" width="6.44140625" style="368" customWidth="1"/>
    <col min="30" max="16384" width="11.5546875" style="368"/>
  </cols>
  <sheetData>
    <row r="1" spans="1:28" x14ac:dyDescent="0.3">
      <c r="A1" s="366" t="s">
        <v>183</v>
      </c>
      <c r="B1" s="366">
        <v>2025</v>
      </c>
      <c r="C1" s="365" t="s">
        <v>59</v>
      </c>
      <c r="D1" s="365" t="s">
        <v>59</v>
      </c>
      <c r="E1" s="365" t="s">
        <v>59</v>
      </c>
      <c r="F1" s="365" t="s">
        <v>59</v>
      </c>
      <c r="G1" s="365" t="s">
        <v>59</v>
      </c>
      <c r="H1" s="365" t="s">
        <v>59</v>
      </c>
      <c r="I1" s="365" t="s">
        <v>59</v>
      </c>
      <c r="J1" s="365" t="s">
        <v>59</v>
      </c>
      <c r="K1" s="365" t="s">
        <v>59</v>
      </c>
      <c r="L1" s="365" t="s">
        <v>59</v>
      </c>
      <c r="M1" s="365" t="s">
        <v>59</v>
      </c>
      <c r="N1" s="365" t="s">
        <v>59</v>
      </c>
      <c r="O1" s="365" t="s">
        <v>59</v>
      </c>
      <c r="P1" s="365" t="s">
        <v>59</v>
      </c>
      <c r="Q1" s="365" t="s">
        <v>59</v>
      </c>
      <c r="R1" s="365" t="s">
        <v>59</v>
      </c>
      <c r="S1" s="365" t="s">
        <v>59</v>
      </c>
      <c r="T1" s="365" t="s">
        <v>59</v>
      </c>
      <c r="U1" s="365" t="s">
        <v>59</v>
      </c>
      <c r="V1" s="365" t="s">
        <v>59</v>
      </c>
      <c r="W1" s="365" t="s">
        <v>59</v>
      </c>
      <c r="X1" s="365" t="s">
        <v>59</v>
      </c>
      <c r="Y1" s="365" t="s">
        <v>59</v>
      </c>
      <c r="Z1" s="365" t="s">
        <v>59</v>
      </c>
      <c r="AA1" s="365" t="s">
        <v>59</v>
      </c>
    </row>
    <row r="2" spans="1:28" x14ac:dyDescent="0.3">
      <c r="A2" s="366" t="s">
        <v>184</v>
      </c>
      <c r="B2" s="366" t="s">
        <v>185</v>
      </c>
      <c r="C2" s="365" t="s">
        <v>59</v>
      </c>
      <c r="D2" s="365" t="s">
        <v>59</v>
      </c>
      <c r="E2" s="365" t="s">
        <v>59</v>
      </c>
      <c r="F2" s="365" t="s">
        <v>59</v>
      </c>
      <c r="G2" s="365" t="s">
        <v>59</v>
      </c>
      <c r="H2" s="365" t="s">
        <v>59</v>
      </c>
      <c r="I2" s="365" t="s">
        <v>59</v>
      </c>
      <c r="J2" s="365" t="s">
        <v>59</v>
      </c>
      <c r="K2" s="365" t="s">
        <v>59</v>
      </c>
      <c r="L2" s="365" t="s">
        <v>59</v>
      </c>
      <c r="M2" s="365" t="s">
        <v>59</v>
      </c>
      <c r="N2" s="365" t="s">
        <v>59</v>
      </c>
      <c r="O2" s="365" t="s">
        <v>59</v>
      </c>
      <c r="P2" s="365" t="s">
        <v>59</v>
      </c>
      <c r="Q2" s="365" t="s">
        <v>59</v>
      </c>
      <c r="R2" s="365" t="s">
        <v>59</v>
      </c>
      <c r="S2" s="365" t="s">
        <v>59</v>
      </c>
      <c r="T2" s="365" t="s">
        <v>59</v>
      </c>
      <c r="U2" s="365" t="s">
        <v>59</v>
      </c>
      <c r="V2" s="365" t="s">
        <v>59</v>
      </c>
      <c r="W2" s="365" t="s">
        <v>59</v>
      </c>
      <c r="X2" s="365" t="s">
        <v>59</v>
      </c>
      <c r="Y2" s="365" t="s">
        <v>59</v>
      </c>
      <c r="Z2" s="365" t="s">
        <v>59</v>
      </c>
      <c r="AA2" s="365" t="s">
        <v>59</v>
      </c>
    </row>
    <row r="3" spans="1:28" x14ac:dyDescent="0.3">
      <c r="A3" s="366" t="s">
        <v>186</v>
      </c>
      <c r="B3" s="366" t="s">
        <v>359</v>
      </c>
      <c r="C3" s="365" t="s">
        <v>59</v>
      </c>
      <c r="D3" s="365" t="s">
        <v>59</v>
      </c>
      <c r="E3" s="365" t="s">
        <v>59</v>
      </c>
      <c r="F3" s="365" t="s">
        <v>59</v>
      </c>
      <c r="G3" s="365" t="s">
        <v>59</v>
      </c>
      <c r="H3" s="365" t="s">
        <v>59</v>
      </c>
      <c r="I3" s="365" t="s">
        <v>59</v>
      </c>
      <c r="J3" s="365" t="s">
        <v>59</v>
      </c>
      <c r="K3" s="365" t="s">
        <v>59</v>
      </c>
      <c r="L3" s="365" t="s">
        <v>59</v>
      </c>
      <c r="M3" s="365" t="s">
        <v>59</v>
      </c>
      <c r="N3" s="365" t="s">
        <v>59</v>
      </c>
      <c r="O3" s="365" t="s">
        <v>59</v>
      </c>
      <c r="P3" s="365" t="s">
        <v>59</v>
      </c>
      <c r="Q3" s="365" t="s">
        <v>59</v>
      </c>
      <c r="R3" s="365" t="s">
        <v>59</v>
      </c>
      <c r="S3" s="365" t="s">
        <v>59</v>
      </c>
      <c r="T3" s="365" t="s">
        <v>59</v>
      </c>
      <c r="U3" s="365" t="s">
        <v>59</v>
      </c>
      <c r="V3" s="365" t="s">
        <v>59</v>
      </c>
      <c r="W3" s="365" t="s">
        <v>59</v>
      </c>
      <c r="X3" s="365" t="s">
        <v>59</v>
      </c>
      <c r="Y3" s="365" t="s">
        <v>59</v>
      </c>
      <c r="Z3" s="365" t="s">
        <v>59</v>
      </c>
      <c r="AA3" s="365" t="s">
        <v>59</v>
      </c>
    </row>
    <row r="4" spans="1:28" x14ac:dyDescent="0.3">
      <c r="A4" s="366" t="s">
        <v>187</v>
      </c>
      <c r="B4" s="366" t="s">
        <v>188</v>
      </c>
      <c r="C4" s="366" t="s">
        <v>189</v>
      </c>
      <c r="D4" s="366" t="s">
        <v>190</v>
      </c>
      <c r="E4" s="366" t="s">
        <v>9</v>
      </c>
      <c r="F4" s="366" t="s">
        <v>10</v>
      </c>
      <c r="G4" s="366" t="s">
        <v>11</v>
      </c>
      <c r="H4" s="366" t="s">
        <v>12</v>
      </c>
      <c r="I4" s="366" t="s">
        <v>13</v>
      </c>
      <c r="J4" s="366" t="s">
        <v>14</v>
      </c>
      <c r="K4" s="366" t="s">
        <v>15</v>
      </c>
      <c r="L4" s="366" t="s">
        <v>191</v>
      </c>
      <c r="M4" s="366" t="s">
        <v>192</v>
      </c>
      <c r="N4" s="366" t="s">
        <v>193</v>
      </c>
      <c r="O4" s="366" t="s">
        <v>194</v>
      </c>
      <c r="P4" s="366" t="s">
        <v>16</v>
      </c>
      <c r="Q4" s="366" t="s">
        <v>195</v>
      </c>
      <c r="R4" s="366" t="s">
        <v>196</v>
      </c>
      <c r="S4" s="366" t="s">
        <v>197</v>
      </c>
      <c r="T4" s="366" t="s">
        <v>198</v>
      </c>
      <c r="U4" s="366" t="s">
        <v>199</v>
      </c>
      <c r="V4" s="366" t="s">
        <v>200</v>
      </c>
      <c r="W4" s="366" t="s">
        <v>201</v>
      </c>
      <c r="X4" s="366" t="s">
        <v>202</v>
      </c>
      <c r="Y4" s="366" t="s">
        <v>203</v>
      </c>
      <c r="Z4" s="366" t="s">
        <v>204</v>
      </c>
      <c r="AA4" s="366" t="s">
        <v>24</v>
      </c>
    </row>
    <row r="5" spans="1:28" x14ac:dyDescent="0.3">
      <c r="A5" s="400" t="s">
        <v>205</v>
      </c>
      <c r="B5" s="286" t="s">
        <v>206</v>
      </c>
      <c r="C5" s="401" t="s">
        <v>229</v>
      </c>
      <c r="D5" s="400" t="s">
        <v>134</v>
      </c>
      <c r="E5" s="400" t="s">
        <v>27</v>
      </c>
      <c r="F5" s="400" t="s">
        <v>27</v>
      </c>
      <c r="G5" s="400" t="s">
        <v>27</v>
      </c>
      <c r="H5" s="400" t="s">
        <v>30</v>
      </c>
      <c r="I5" s="400" t="s">
        <v>30</v>
      </c>
      <c r="J5" s="400"/>
      <c r="K5" s="400"/>
      <c r="L5" s="400"/>
      <c r="M5" s="400" t="s">
        <v>208</v>
      </c>
      <c r="N5" s="400" t="s">
        <v>209</v>
      </c>
      <c r="O5" s="400" t="s">
        <v>210</v>
      </c>
      <c r="P5" s="286" t="s">
        <v>32</v>
      </c>
      <c r="Q5" s="402">
        <v>27102300000</v>
      </c>
      <c r="R5" s="402">
        <v>0</v>
      </c>
      <c r="S5" s="402">
        <v>0</v>
      </c>
      <c r="T5" s="402">
        <v>27102300000</v>
      </c>
      <c r="U5" s="402">
        <v>0</v>
      </c>
      <c r="V5" s="402">
        <v>27102300000</v>
      </c>
      <c r="W5" s="402">
        <v>0</v>
      </c>
      <c r="X5" s="402">
        <v>16329533494</v>
      </c>
      <c r="Y5" s="402">
        <v>16308166501</v>
      </c>
      <c r="Z5" s="402">
        <v>16308166501</v>
      </c>
      <c r="AA5" s="402">
        <v>16308166501</v>
      </c>
      <c r="AB5" s="402">
        <f>V5-X5</f>
        <v>10772766506</v>
      </c>
    </row>
    <row r="6" spans="1:28" x14ac:dyDescent="0.3">
      <c r="A6" s="400" t="s">
        <v>205</v>
      </c>
      <c r="B6" s="286" t="s">
        <v>206</v>
      </c>
      <c r="C6" s="401" t="s">
        <v>230</v>
      </c>
      <c r="D6" s="400" t="s">
        <v>134</v>
      </c>
      <c r="E6" s="400" t="s">
        <v>27</v>
      </c>
      <c r="F6" s="400" t="s">
        <v>27</v>
      </c>
      <c r="G6" s="400" t="s">
        <v>27</v>
      </c>
      <c r="H6" s="400" t="s">
        <v>30</v>
      </c>
      <c r="I6" s="400" t="s">
        <v>33</v>
      </c>
      <c r="J6" s="400"/>
      <c r="K6" s="400"/>
      <c r="L6" s="400"/>
      <c r="M6" s="400" t="s">
        <v>208</v>
      </c>
      <c r="N6" s="400" t="s">
        <v>209</v>
      </c>
      <c r="O6" s="400" t="s">
        <v>210</v>
      </c>
      <c r="P6" s="286" t="s">
        <v>34</v>
      </c>
      <c r="Q6" s="402">
        <v>5318000000</v>
      </c>
      <c r="R6" s="402">
        <v>0</v>
      </c>
      <c r="S6" s="402">
        <v>0</v>
      </c>
      <c r="T6" s="402">
        <v>5318000000</v>
      </c>
      <c r="U6" s="402">
        <v>0</v>
      </c>
      <c r="V6" s="402">
        <v>5318000000</v>
      </c>
      <c r="W6" s="402">
        <v>0</v>
      </c>
      <c r="X6" s="402">
        <v>3695068995</v>
      </c>
      <c r="Y6" s="402">
        <v>3685904922</v>
      </c>
      <c r="Z6" s="402">
        <v>3685904922</v>
      </c>
      <c r="AA6" s="402">
        <v>3685904922</v>
      </c>
      <c r="AB6" s="402">
        <f t="shared" ref="AB6:AB67" si="0">V6-X6</f>
        <v>1622931005</v>
      </c>
    </row>
    <row r="7" spans="1:28" x14ac:dyDescent="0.3">
      <c r="A7" s="400" t="s">
        <v>205</v>
      </c>
      <c r="B7" s="286" t="s">
        <v>206</v>
      </c>
      <c r="C7" s="401" t="s">
        <v>231</v>
      </c>
      <c r="D7" s="400" t="s">
        <v>134</v>
      </c>
      <c r="E7" s="400" t="s">
        <v>27</v>
      </c>
      <c r="F7" s="400" t="s">
        <v>27</v>
      </c>
      <c r="G7" s="400" t="s">
        <v>27</v>
      </c>
      <c r="H7" s="400" t="s">
        <v>30</v>
      </c>
      <c r="I7" s="400" t="s">
        <v>35</v>
      </c>
      <c r="J7" s="400"/>
      <c r="K7" s="400"/>
      <c r="L7" s="400"/>
      <c r="M7" s="400" t="s">
        <v>208</v>
      </c>
      <c r="N7" s="400" t="s">
        <v>209</v>
      </c>
      <c r="O7" s="400" t="s">
        <v>210</v>
      </c>
      <c r="P7" s="286" t="s">
        <v>36</v>
      </c>
      <c r="Q7" s="402">
        <v>1545000000</v>
      </c>
      <c r="R7" s="402">
        <v>0</v>
      </c>
      <c r="S7" s="402">
        <v>0</v>
      </c>
      <c r="T7" s="402">
        <v>1545000000</v>
      </c>
      <c r="U7" s="402">
        <v>0</v>
      </c>
      <c r="V7" s="402">
        <v>1545000000</v>
      </c>
      <c r="W7" s="402">
        <v>0</v>
      </c>
      <c r="X7" s="402">
        <v>1279919895</v>
      </c>
      <c r="Y7" s="402">
        <v>1279919895</v>
      </c>
      <c r="Z7" s="402">
        <v>1279919895</v>
      </c>
      <c r="AA7" s="402">
        <v>1279919895</v>
      </c>
      <c r="AB7" s="402">
        <f t="shared" si="0"/>
        <v>265080105</v>
      </c>
    </row>
    <row r="8" spans="1:28" x14ac:dyDescent="0.3">
      <c r="A8" s="400" t="s">
        <v>205</v>
      </c>
      <c r="B8" s="286" t="s">
        <v>206</v>
      </c>
      <c r="C8" s="401" t="s">
        <v>232</v>
      </c>
      <c r="D8" s="400" t="s">
        <v>134</v>
      </c>
      <c r="E8" s="400" t="s">
        <v>27</v>
      </c>
      <c r="F8" s="400" t="s">
        <v>27</v>
      </c>
      <c r="G8" s="400" t="s">
        <v>27</v>
      </c>
      <c r="H8" s="400" t="s">
        <v>30</v>
      </c>
      <c r="I8" s="400" t="s">
        <v>37</v>
      </c>
      <c r="J8" s="400"/>
      <c r="K8" s="400"/>
      <c r="L8" s="400"/>
      <c r="M8" s="400" t="s">
        <v>208</v>
      </c>
      <c r="N8" s="400" t="s">
        <v>209</v>
      </c>
      <c r="O8" s="400" t="s">
        <v>210</v>
      </c>
      <c r="P8" s="286" t="s">
        <v>38</v>
      </c>
      <c r="Q8" s="402">
        <v>1138000000</v>
      </c>
      <c r="R8" s="402">
        <v>0</v>
      </c>
      <c r="S8" s="402">
        <v>0</v>
      </c>
      <c r="T8" s="402">
        <v>1138000000</v>
      </c>
      <c r="U8" s="402">
        <v>0</v>
      </c>
      <c r="V8" s="402">
        <v>1138000000</v>
      </c>
      <c r="W8" s="402">
        <v>0</v>
      </c>
      <c r="X8" s="402">
        <v>649785780</v>
      </c>
      <c r="Y8" s="402">
        <v>649785780</v>
      </c>
      <c r="Z8" s="402">
        <v>649785780</v>
      </c>
      <c r="AA8" s="402">
        <v>649785780</v>
      </c>
      <c r="AB8" s="402">
        <f t="shared" si="0"/>
        <v>488214220</v>
      </c>
    </row>
    <row r="9" spans="1:28" x14ac:dyDescent="0.3">
      <c r="A9" s="400" t="s">
        <v>205</v>
      </c>
      <c r="B9" s="286" t="s">
        <v>206</v>
      </c>
      <c r="C9" s="401" t="s">
        <v>233</v>
      </c>
      <c r="D9" s="400" t="s">
        <v>134</v>
      </c>
      <c r="E9" s="400" t="s">
        <v>27</v>
      </c>
      <c r="F9" s="400" t="s">
        <v>27</v>
      </c>
      <c r="G9" s="400" t="s">
        <v>27</v>
      </c>
      <c r="H9" s="400" t="s">
        <v>30</v>
      </c>
      <c r="I9" s="400" t="s">
        <v>39</v>
      </c>
      <c r="J9" s="400"/>
      <c r="K9" s="400"/>
      <c r="L9" s="400"/>
      <c r="M9" s="400" t="s">
        <v>208</v>
      </c>
      <c r="N9" s="400" t="s">
        <v>209</v>
      </c>
      <c r="O9" s="400" t="s">
        <v>210</v>
      </c>
      <c r="P9" s="286" t="s">
        <v>40</v>
      </c>
      <c r="Q9" s="402">
        <v>17900000</v>
      </c>
      <c r="R9" s="402">
        <v>0</v>
      </c>
      <c r="S9" s="402">
        <v>0</v>
      </c>
      <c r="T9" s="402">
        <v>17900000</v>
      </c>
      <c r="U9" s="402">
        <v>0</v>
      </c>
      <c r="V9" s="402">
        <v>17900000</v>
      </c>
      <c r="W9" s="402">
        <v>0</v>
      </c>
      <c r="X9" s="402">
        <v>0</v>
      </c>
      <c r="Y9" s="402">
        <v>0</v>
      </c>
      <c r="Z9" s="402">
        <v>0</v>
      </c>
      <c r="AA9" s="402">
        <v>0</v>
      </c>
      <c r="AB9" s="402">
        <f t="shared" si="0"/>
        <v>17900000</v>
      </c>
    </row>
    <row r="10" spans="1:28" x14ac:dyDescent="0.3">
      <c r="A10" s="400" t="s">
        <v>205</v>
      </c>
      <c r="B10" s="286" t="s">
        <v>206</v>
      </c>
      <c r="C10" s="401" t="s">
        <v>234</v>
      </c>
      <c r="D10" s="400" t="s">
        <v>134</v>
      </c>
      <c r="E10" s="400" t="s">
        <v>27</v>
      </c>
      <c r="F10" s="400" t="s">
        <v>27</v>
      </c>
      <c r="G10" s="400" t="s">
        <v>27</v>
      </c>
      <c r="H10" s="400" t="s">
        <v>30</v>
      </c>
      <c r="I10" s="400" t="s">
        <v>41</v>
      </c>
      <c r="J10" s="400"/>
      <c r="K10" s="400"/>
      <c r="L10" s="400"/>
      <c r="M10" s="400" t="s">
        <v>208</v>
      </c>
      <c r="N10" s="400" t="s">
        <v>209</v>
      </c>
      <c r="O10" s="400" t="s">
        <v>210</v>
      </c>
      <c r="P10" s="286" t="s">
        <v>42</v>
      </c>
      <c r="Q10" s="402">
        <v>3218000000</v>
      </c>
      <c r="R10" s="402">
        <v>0</v>
      </c>
      <c r="S10" s="402">
        <v>0</v>
      </c>
      <c r="T10" s="402">
        <v>3218000000</v>
      </c>
      <c r="U10" s="402">
        <v>0</v>
      </c>
      <c r="V10" s="402">
        <v>3218000000</v>
      </c>
      <c r="W10" s="402">
        <v>0</v>
      </c>
      <c r="X10" s="402">
        <v>111144427</v>
      </c>
      <c r="Y10" s="402">
        <v>111144427</v>
      </c>
      <c r="Z10" s="402">
        <v>111144427</v>
      </c>
      <c r="AA10" s="402">
        <v>111144427</v>
      </c>
      <c r="AB10" s="402">
        <f t="shared" si="0"/>
        <v>3106855573</v>
      </c>
    </row>
    <row r="11" spans="1:28" x14ac:dyDescent="0.3">
      <c r="A11" s="400" t="s">
        <v>205</v>
      </c>
      <c r="B11" s="286" t="s">
        <v>206</v>
      </c>
      <c r="C11" s="401" t="s">
        <v>235</v>
      </c>
      <c r="D11" s="400" t="s">
        <v>134</v>
      </c>
      <c r="E11" s="400" t="s">
        <v>27</v>
      </c>
      <c r="F11" s="400" t="s">
        <v>27</v>
      </c>
      <c r="G11" s="400" t="s">
        <v>27</v>
      </c>
      <c r="H11" s="400" t="s">
        <v>30</v>
      </c>
      <c r="I11" s="400" t="s">
        <v>43</v>
      </c>
      <c r="J11" s="400"/>
      <c r="K11" s="400"/>
      <c r="L11" s="400"/>
      <c r="M11" s="400" t="s">
        <v>208</v>
      </c>
      <c r="N11" s="400" t="s">
        <v>209</v>
      </c>
      <c r="O11" s="400" t="s">
        <v>210</v>
      </c>
      <c r="P11" s="286" t="s">
        <v>44</v>
      </c>
      <c r="Q11" s="402">
        <v>1666000000</v>
      </c>
      <c r="R11" s="402">
        <v>0</v>
      </c>
      <c r="S11" s="402">
        <v>0</v>
      </c>
      <c r="T11" s="402">
        <v>1666000000</v>
      </c>
      <c r="U11" s="402">
        <v>0</v>
      </c>
      <c r="V11" s="402">
        <v>1666000000</v>
      </c>
      <c r="W11" s="402">
        <v>0</v>
      </c>
      <c r="X11" s="402">
        <v>862705000</v>
      </c>
      <c r="Y11" s="402">
        <v>862705000</v>
      </c>
      <c r="Z11" s="402">
        <v>862705000</v>
      </c>
      <c r="AA11" s="402">
        <v>862705000</v>
      </c>
      <c r="AB11" s="402">
        <f t="shared" si="0"/>
        <v>803295000</v>
      </c>
    </row>
    <row r="12" spans="1:28" x14ac:dyDescent="0.3">
      <c r="A12" s="400" t="s">
        <v>205</v>
      </c>
      <c r="B12" s="286" t="s">
        <v>206</v>
      </c>
      <c r="C12" s="401" t="s">
        <v>236</v>
      </c>
      <c r="D12" s="400" t="s">
        <v>134</v>
      </c>
      <c r="E12" s="400" t="s">
        <v>27</v>
      </c>
      <c r="F12" s="400" t="s">
        <v>27</v>
      </c>
      <c r="G12" s="400" t="s">
        <v>45</v>
      </c>
      <c r="H12" s="400" t="s">
        <v>30</v>
      </c>
      <c r="I12" s="400"/>
      <c r="J12" s="400"/>
      <c r="K12" s="400"/>
      <c r="L12" s="400"/>
      <c r="M12" s="400" t="s">
        <v>208</v>
      </c>
      <c r="N12" s="400" t="s">
        <v>209</v>
      </c>
      <c r="O12" s="400" t="s">
        <v>210</v>
      </c>
      <c r="P12" s="286" t="s">
        <v>47</v>
      </c>
      <c r="Q12" s="402">
        <v>4082290000</v>
      </c>
      <c r="R12" s="402">
        <v>0</v>
      </c>
      <c r="S12" s="402">
        <v>0</v>
      </c>
      <c r="T12" s="402">
        <v>4082290000</v>
      </c>
      <c r="U12" s="402">
        <v>0</v>
      </c>
      <c r="V12" s="402">
        <v>4082290000</v>
      </c>
      <c r="W12" s="402">
        <v>0</v>
      </c>
      <c r="X12" s="402">
        <v>2767935211</v>
      </c>
      <c r="Y12" s="402">
        <v>2767935211</v>
      </c>
      <c r="Z12" s="402">
        <v>2767935211</v>
      </c>
      <c r="AA12" s="402">
        <v>2263259032</v>
      </c>
      <c r="AB12" s="402">
        <f t="shared" si="0"/>
        <v>1314354789</v>
      </c>
    </row>
    <row r="13" spans="1:28" x14ac:dyDescent="0.3">
      <c r="A13" s="400" t="s">
        <v>205</v>
      </c>
      <c r="B13" s="286" t="s">
        <v>206</v>
      </c>
      <c r="C13" s="401" t="s">
        <v>237</v>
      </c>
      <c r="D13" s="400" t="s">
        <v>134</v>
      </c>
      <c r="E13" s="400" t="s">
        <v>27</v>
      </c>
      <c r="F13" s="400" t="s">
        <v>27</v>
      </c>
      <c r="G13" s="400" t="s">
        <v>45</v>
      </c>
      <c r="H13" s="400" t="s">
        <v>48</v>
      </c>
      <c r="I13" s="400"/>
      <c r="J13" s="400"/>
      <c r="K13" s="400"/>
      <c r="L13" s="400"/>
      <c r="M13" s="400" t="s">
        <v>208</v>
      </c>
      <c r="N13" s="400" t="s">
        <v>209</v>
      </c>
      <c r="O13" s="400" t="s">
        <v>210</v>
      </c>
      <c r="P13" s="286" t="s">
        <v>49</v>
      </c>
      <c r="Q13" s="402">
        <v>2420290000</v>
      </c>
      <c r="R13" s="402">
        <v>0</v>
      </c>
      <c r="S13" s="402">
        <v>0</v>
      </c>
      <c r="T13" s="402">
        <v>2420290000</v>
      </c>
      <c r="U13" s="402">
        <v>0</v>
      </c>
      <c r="V13" s="402">
        <v>2420290000</v>
      </c>
      <c r="W13" s="402">
        <v>0</v>
      </c>
      <c r="X13" s="402">
        <v>1758876748</v>
      </c>
      <c r="Y13" s="402">
        <v>1758876748</v>
      </c>
      <c r="Z13" s="402">
        <v>1758876748</v>
      </c>
      <c r="AA13" s="402">
        <v>1758876748</v>
      </c>
      <c r="AB13" s="402">
        <f t="shared" si="0"/>
        <v>661413252</v>
      </c>
    </row>
    <row r="14" spans="1:28" x14ac:dyDescent="0.3">
      <c r="A14" s="400" t="s">
        <v>205</v>
      </c>
      <c r="B14" s="286" t="s">
        <v>206</v>
      </c>
      <c r="C14" s="401" t="s">
        <v>238</v>
      </c>
      <c r="D14" s="400" t="s">
        <v>134</v>
      </c>
      <c r="E14" s="400" t="s">
        <v>27</v>
      </c>
      <c r="F14" s="400" t="s">
        <v>27</v>
      </c>
      <c r="G14" s="400" t="s">
        <v>45</v>
      </c>
      <c r="H14" s="400" t="s">
        <v>33</v>
      </c>
      <c r="I14" s="400"/>
      <c r="J14" s="400"/>
      <c r="K14" s="400"/>
      <c r="L14" s="400"/>
      <c r="M14" s="400" t="s">
        <v>208</v>
      </c>
      <c r="N14" s="400" t="s">
        <v>209</v>
      </c>
      <c r="O14" s="400" t="s">
        <v>210</v>
      </c>
      <c r="P14" s="286" t="s">
        <v>50</v>
      </c>
      <c r="Q14" s="402">
        <v>3374290000</v>
      </c>
      <c r="R14" s="402">
        <v>0</v>
      </c>
      <c r="S14" s="402">
        <v>0</v>
      </c>
      <c r="T14" s="402">
        <v>3374290000</v>
      </c>
      <c r="U14" s="402">
        <v>0</v>
      </c>
      <c r="V14" s="402">
        <v>3374290000</v>
      </c>
      <c r="W14" s="402">
        <v>0</v>
      </c>
      <c r="X14" s="402">
        <v>2106867512.6500001</v>
      </c>
      <c r="Y14" s="402">
        <v>2106867512.6500001</v>
      </c>
      <c r="Z14" s="402">
        <v>2106867512.6500001</v>
      </c>
      <c r="AA14" s="402">
        <v>2106867512.6500001</v>
      </c>
      <c r="AB14" s="402">
        <f t="shared" si="0"/>
        <v>1267422487.3499999</v>
      </c>
    </row>
    <row r="15" spans="1:28" x14ac:dyDescent="0.3">
      <c r="A15" s="400" t="s">
        <v>205</v>
      </c>
      <c r="B15" s="286" t="s">
        <v>206</v>
      </c>
      <c r="C15" s="401" t="s">
        <v>239</v>
      </c>
      <c r="D15" s="400" t="s">
        <v>134</v>
      </c>
      <c r="E15" s="400" t="s">
        <v>27</v>
      </c>
      <c r="F15" s="400" t="s">
        <v>27</v>
      </c>
      <c r="G15" s="400" t="s">
        <v>45</v>
      </c>
      <c r="H15" s="400" t="s">
        <v>51</v>
      </c>
      <c r="I15" s="400"/>
      <c r="J15" s="400"/>
      <c r="K15" s="400"/>
      <c r="L15" s="400"/>
      <c r="M15" s="400" t="s">
        <v>208</v>
      </c>
      <c r="N15" s="400" t="s">
        <v>209</v>
      </c>
      <c r="O15" s="400" t="s">
        <v>210</v>
      </c>
      <c r="P15" s="286" t="s">
        <v>52</v>
      </c>
      <c r="Q15" s="402">
        <v>1698290000</v>
      </c>
      <c r="R15" s="402">
        <v>0</v>
      </c>
      <c r="S15" s="402">
        <v>0</v>
      </c>
      <c r="T15" s="402">
        <v>1698290000</v>
      </c>
      <c r="U15" s="402">
        <v>0</v>
      </c>
      <c r="V15" s="402">
        <v>1698290000</v>
      </c>
      <c r="W15" s="402">
        <v>0</v>
      </c>
      <c r="X15" s="402">
        <v>783815300</v>
      </c>
      <c r="Y15" s="402">
        <v>783815300</v>
      </c>
      <c r="Z15" s="402">
        <v>783815300</v>
      </c>
      <c r="AA15" s="402">
        <v>783815300</v>
      </c>
      <c r="AB15" s="402">
        <f t="shared" si="0"/>
        <v>914474700</v>
      </c>
    </row>
    <row r="16" spans="1:28" x14ac:dyDescent="0.3">
      <c r="A16" s="400" t="s">
        <v>205</v>
      </c>
      <c r="B16" s="286" t="s">
        <v>206</v>
      </c>
      <c r="C16" s="401" t="s">
        <v>240</v>
      </c>
      <c r="D16" s="400" t="s">
        <v>134</v>
      </c>
      <c r="E16" s="400" t="s">
        <v>27</v>
      </c>
      <c r="F16" s="400" t="s">
        <v>27</v>
      </c>
      <c r="G16" s="400" t="s">
        <v>45</v>
      </c>
      <c r="H16" s="400" t="s">
        <v>53</v>
      </c>
      <c r="I16" s="400"/>
      <c r="J16" s="400"/>
      <c r="K16" s="400"/>
      <c r="L16" s="400"/>
      <c r="M16" s="400" t="s">
        <v>208</v>
      </c>
      <c r="N16" s="400" t="s">
        <v>209</v>
      </c>
      <c r="O16" s="400" t="s">
        <v>210</v>
      </c>
      <c r="P16" s="286" t="s">
        <v>54</v>
      </c>
      <c r="Q16" s="402">
        <v>254460000</v>
      </c>
      <c r="R16" s="402">
        <v>0</v>
      </c>
      <c r="S16" s="402">
        <v>0</v>
      </c>
      <c r="T16" s="402">
        <v>254460000</v>
      </c>
      <c r="U16" s="402">
        <v>0</v>
      </c>
      <c r="V16" s="402">
        <v>254460000</v>
      </c>
      <c r="W16" s="402">
        <v>0</v>
      </c>
      <c r="X16" s="402">
        <v>87740800</v>
      </c>
      <c r="Y16" s="402">
        <v>87740800</v>
      </c>
      <c r="Z16" s="402">
        <v>87740800</v>
      </c>
      <c r="AA16" s="402">
        <v>87740800</v>
      </c>
      <c r="AB16" s="402">
        <f t="shared" si="0"/>
        <v>166719200</v>
      </c>
    </row>
    <row r="17" spans="1:28" x14ac:dyDescent="0.3">
      <c r="A17" s="400" t="s">
        <v>205</v>
      </c>
      <c r="B17" s="286" t="s">
        <v>206</v>
      </c>
      <c r="C17" s="401" t="s">
        <v>241</v>
      </c>
      <c r="D17" s="400" t="s">
        <v>134</v>
      </c>
      <c r="E17" s="400" t="s">
        <v>27</v>
      </c>
      <c r="F17" s="400" t="s">
        <v>27</v>
      </c>
      <c r="G17" s="400" t="s">
        <v>45</v>
      </c>
      <c r="H17" s="400" t="s">
        <v>35</v>
      </c>
      <c r="I17" s="400"/>
      <c r="J17" s="400"/>
      <c r="K17" s="400"/>
      <c r="L17" s="400"/>
      <c r="M17" s="400" t="s">
        <v>208</v>
      </c>
      <c r="N17" s="400" t="s">
        <v>209</v>
      </c>
      <c r="O17" s="400" t="s">
        <v>210</v>
      </c>
      <c r="P17" s="286" t="s">
        <v>55</v>
      </c>
      <c r="Q17" s="402">
        <v>1238290000</v>
      </c>
      <c r="R17" s="402">
        <v>0</v>
      </c>
      <c r="S17" s="402">
        <v>0</v>
      </c>
      <c r="T17" s="402">
        <v>1238290000</v>
      </c>
      <c r="U17" s="402">
        <v>0</v>
      </c>
      <c r="V17" s="402">
        <v>1238290000</v>
      </c>
      <c r="W17" s="402">
        <v>0</v>
      </c>
      <c r="X17" s="402">
        <v>587883600</v>
      </c>
      <c r="Y17" s="402">
        <v>587883600</v>
      </c>
      <c r="Z17" s="402">
        <v>587883600</v>
      </c>
      <c r="AA17" s="402">
        <v>587883600</v>
      </c>
      <c r="AB17" s="402">
        <f t="shared" si="0"/>
        <v>650406400</v>
      </c>
    </row>
    <row r="18" spans="1:28" x14ac:dyDescent="0.3">
      <c r="A18" s="400" t="s">
        <v>205</v>
      </c>
      <c r="B18" s="286" t="s">
        <v>206</v>
      </c>
      <c r="C18" s="401" t="s">
        <v>242</v>
      </c>
      <c r="D18" s="400" t="s">
        <v>134</v>
      </c>
      <c r="E18" s="400" t="s">
        <v>27</v>
      </c>
      <c r="F18" s="400" t="s">
        <v>27</v>
      </c>
      <c r="G18" s="400" t="s">
        <v>45</v>
      </c>
      <c r="H18" s="400" t="s">
        <v>37</v>
      </c>
      <c r="I18" s="400"/>
      <c r="J18" s="400"/>
      <c r="K18" s="400"/>
      <c r="L18" s="400"/>
      <c r="M18" s="400" t="s">
        <v>208</v>
      </c>
      <c r="N18" s="400" t="s">
        <v>209</v>
      </c>
      <c r="O18" s="400" t="s">
        <v>210</v>
      </c>
      <c r="P18" s="286" t="s">
        <v>56</v>
      </c>
      <c r="Q18" s="402">
        <v>852290000</v>
      </c>
      <c r="R18" s="402">
        <v>0</v>
      </c>
      <c r="S18" s="402">
        <v>0</v>
      </c>
      <c r="T18" s="402">
        <v>852290000</v>
      </c>
      <c r="U18" s="402">
        <v>0</v>
      </c>
      <c r="V18" s="402">
        <v>852290000</v>
      </c>
      <c r="W18" s="402">
        <v>0</v>
      </c>
      <c r="X18" s="402">
        <v>391945100</v>
      </c>
      <c r="Y18" s="402">
        <v>391945100</v>
      </c>
      <c r="Z18" s="402">
        <v>391945100</v>
      </c>
      <c r="AA18" s="402">
        <v>391945100</v>
      </c>
      <c r="AB18" s="402">
        <f t="shared" si="0"/>
        <v>460344900</v>
      </c>
    </row>
    <row r="19" spans="1:28" x14ac:dyDescent="0.3">
      <c r="A19" s="400" t="s">
        <v>205</v>
      </c>
      <c r="B19" s="286" t="s">
        <v>206</v>
      </c>
      <c r="C19" s="401" t="s">
        <v>243</v>
      </c>
      <c r="D19" s="400" t="s">
        <v>134</v>
      </c>
      <c r="E19" s="400" t="s">
        <v>27</v>
      </c>
      <c r="F19" s="400" t="s">
        <v>27</v>
      </c>
      <c r="G19" s="400" t="s">
        <v>57</v>
      </c>
      <c r="H19" s="400" t="s">
        <v>30</v>
      </c>
      <c r="I19" s="400" t="s">
        <v>30</v>
      </c>
      <c r="J19" s="400"/>
      <c r="K19" s="400"/>
      <c r="L19" s="400"/>
      <c r="M19" s="400" t="s">
        <v>208</v>
      </c>
      <c r="N19" s="400" t="s">
        <v>209</v>
      </c>
      <c r="O19" s="400" t="s">
        <v>210</v>
      </c>
      <c r="P19" s="286" t="s">
        <v>61</v>
      </c>
      <c r="Q19" s="402">
        <v>1797000000</v>
      </c>
      <c r="R19" s="402">
        <v>0</v>
      </c>
      <c r="S19" s="402">
        <v>0</v>
      </c>
      <c r="T19" s="402">
        <v>1797000000</v>
      </c>
      <c r="U19" s="402">
        <v>0</v>
      </c>
      <c r="V19" s="402">
        <v>1797000000</v>
      </c>
      <c r="W19" s="402">
        <v>0</v>
      </c>
      <c r="X19" s="402">
        <v>1224222737</v>
      </c>
      <c r="Y19" s="402">
        <v>1224222737</v>
      </c>
      <c r="Z19" s="402">
        <v>1224222737</v>
      </c>
      <c r="AA19" s="402">
        <v>1224222737</v>
      </c>
      <c r="AB19" s="402">
        <f t="shared" si="0"/>
        <v>572777263</v>
      </c>
    </row>
    <row r="20" spans="1:28" x14ac:dyDescent="0.3">
      <c r="A20" s="400" t="s">
        <v>205</v>
      </c>
      <c r="B20" s="286" t="s">
        <v>206</v>
      </c>
      <c r="C20" s="401" t="s">
        <v>244</v>
      </c>
      <c r="D20" s="400" t="s">
        <v>134</v>
      </c>
      <c r="E20" s="400" t="s">
        <v>27</v>
      </c>
      <c r="F20" s="400" t="s">
        <v>27</v>
      </c>
      <c r="G20" s="400" t="s">
        <v>57</v>
      </c>
      <c r="H20" s="400" t="s">
        <v>30</v>
      </c>
      <c r="I20" s="400" t="s">
        <v>48</v>
      </c>
      <c r="J20" s="400"/>
      <c r="K20" s="400"/>
      <c r="L20" s="400"/>
      <c r="M20" s="400" t="s">
        <v>208</v>
      </c>
      <c r="N20" s="400" t="s">
        <v>209</v>
      </c>
      <c r="O20" s="400" t="s">
        <v>210</v>
      </c>
      <c r="P20" s="286" t="s">
        <v>62</v>
      </c>
      <c r="Q20" s="402">
        <v>700000000</v>
      </c>
      <c r="R20" s="402">
        <v>0</v>
      </c>
      <c r="S20" s="402">
        <v>0</v>
      </c>
      <c r="T20" s="402">
        <v>700000000</v>
      </c>
      <c r="U20" s="402">
        <v>0</v>
      </c>
      <c r="V20" s="402">
        <v>700000000</v>
      </c>
      <c r="W20" s="402">
        <v>0</v>
      </c>
      <c r="X20" s="402">
        <v>0</v>
      </c>
      <c r="Y20" s="402">
        <v>0</v>
      </c>
      <c r="Z20" s="402">
        <v>0</v>
      </c>
      <c r="AA20" s="402">
        <v>0</v>
      </c>
      <c r="AB20" s="402">
        <f t="shared" si="0"/>
        <v>700000000</v>
      </c>
    </row>
    <row r="21" spans="1:28" x14ac:dyDescent="0.3">
      <c r="A21" s="400" t="s">
        <v>205</v>
      </c>
      <c r="B21" s="286" t="s">
        <v>206</v>
      </c>
      <c r="C21" s="401" t="s">
        <v>245</v>
      </c>
      <c r="D21" s="400" t="s">
        <v>134</v>
      </c>
      <c r="E21" s="400" t="s">
        <v>27</v>
      </c>
      <c r="F21" s="400" t="s">
        <v>27</v>
      </c>
      <c r="G21" s="400" t="s">
        <v>57</v>
      </c>
      <c r="H21" s="400" t="s">
        <v>30</v>
      </c>
      <c r="I21" s="400" t="s">
        <v>33</v>
      </c>
      <c r="J21" s="400"/>
      <c r="K21" s="400"/>
      <c r="L21" s="400"/>
      <c r="M21" s="400" t="s">
        <v>208</v>
      </c>
      <c r="N21" s="400" t="s">
        <v>209</v>
      </c>
      <c r="O21" s="400" t="s">
        <v>210</v>
      </c>
      <c r="P21" s="286" t="s">
        <v>63</v>
      </c>
      <c r="Q21" s="402">
        <v>180000000</v>
      </c>
      <c r="R21" s="402">
        <v>0</v>
      </c>
      <c r="S21" s="402">
        <v>0</v>
      </c>
      <c r="T21" s="402">
        <v>180000000</v>
      </c>
      <c r="U21" s="402">
        <v>0</v>
      </c>
      <c r="V21" s="402">
        <v>180000000</v>
      </c>
      <c r="W21" s="402">
        <v>0</v>
      </c>
      <c r="X21" s="402">
        <v>84919136</v>
      </c>
      <c r="Y21" s="402">
        <v>84919136</v>
      </c>
      <c r="Z21" s="402">
        <v>84919136</v>
      </c>
      <c r="AA21" s="402">
        <v>84919136</v>
      </c>
      <c r="AB21" s="402">
        <f t="shared" si="0"/>
        <v>95080864</v>
      </c>
    </row>
    <row r="22" spans="1:28" x14ac:dyDescent="0.3">
      <c r="A22" s="400" t="s">
        <v>205</v>
      </c>
      <c r="B22" s="286" t="s">
        <v>206</v>
      </c>
      <c r="C22" s="401" t="s">
        <v>246</v>
      </c>
      <c r="D22" s="400" t="s">
        <v>134</v>
      </c>
      <c r="E22" s="400" t="s">
        <v>27</v>
      </c>
      <c r="F22" s="400" t="s">
        <v>27</v>
      </c>
      <c r="G22" s="400" t="s">
        <v>57</v>
      </c>
      <c r="H22" s="400" t="s">
        <v>48</v>
      </c>
      <c r="I22" s="400"/>
      <c r="J22" s="400"/>
      <c r="K22" s="400"/>
      <c r="L22" s="400"/>
      <c r="M22" s="400" t="s">
        <v>208</v>
      </c>
      <c r="N22" s="400" t="s">
        <v>209</v>
      </c>
      <c r="O22" s="400" t="s">
        <v>210</v>
      </c>
      <c r="P22" s="286" t="s">
        <v>64</v>
      </c>
      <c r="Q22" s="402">
        <v>1388952000</v>
      </c>
      <c r="R22" s="402">
        <v>0</v>
      </c>
      <c r="S22" s="402">
        <v>0</v>
      </c>
      <c r="T22" s="402">
        <v>1388952000</v>
      </c>
      <c r="U22" s="402">
        <v>0</v>
      </c>
      <c r="V22" s="402">
        <v>1388952000</v>
      </c>
      <c r="W22" s="402">
        <v>0</v>
      </c>
      <c r="X22" s="402">
        <v>515125239</v>
      </c>
      <c r="Y22" s="402">
        <v>512107377</v>
      </c>
      <c r="Z22" s="402">
        <v>512107377</v>
      </c>
      <c r="AA22" s="402">
        <v>512107377</v>
      </c>
      <c r="AB22" s="402">
        <f t="shared" si="0"/>
        <v>873826761</v>
      </c>
    </row>
    <row r="23" spans="1:28" x14ac:dyDescent="0.3">
      <c r="A23" s="400" t="s">
        <v>205</v>
      </c>
      <c r="B23" s="286" t="s">
        <v>206</v>
      </c>
      <c r="C23" s="401" t="s">
        <v>247</v>
      </c>
      <c r="D23" s="400" t="s">
        <v>134</v>
      </c>
      <c r="E23" s="400" t="s">
        <v>27</v>
      </c>
      <c r="F23" s="400" t="s">
        <v>27</v>
      </c>
      <c r="G23" s="400" t="s">
        <v>57</v>
      </c>
      <c r="H23" s="400" t="s">
        <v>248</v>
      </c>
      <c r="I23" s="400"/>
      <c r="J23" s="400"/>
      <c r="K23" s="400"/>
      <c r="L23" s="400"/>
      <c r="M23" s="400" t="s">
        <v>208</v>
      </c>
      <c r="N23" s="400" t="s">
        <v>209</v>
      </c>
      <c r="O23" s="400" t="s">
        <v>210</v>
      </c>
      <c r="P23" s="286" t="s">
        <v>249</v>
      </c>
      <c r="Q23" s="402">
        <v>180000000</v>
      </c>
      <c r="R23" s="402">
        <v>0</v>
      </c>
      <c r="S23" s="402">
        <v>0</v>
      </c>
      <c r="T23" s="402">
        <v>180000000</v>
      </c>
      <c r="U23" s="402">
        <v>0</v>
      </c>
      <c r="V23" s="402">
        <v>180000000</v>
      </c>
      <c r="W23" s="402">
        <v>0</v>
      </c>
      <c r="X23" s="402">
        <v>0</v>
      </c>
      <c r="Y23" s="402">
        <v>0</v>
      </c>
      <c r="Z23" s="402">
        <v>0</v>
      </c>
      <c r="AA23" s="402">
        <v>0</v>
      </c>
      <c r="AB23" s="402">
        <f t="shared" si="0"/>
        <v>180000000</v>
      </c>
    </row>
    <row r="24" spans="1:28" x14ac:dyDescent="0.3">
      <c r="A24" s="400" t="s">
        <v>205</v>
      </c>
      <c r="B24" s="286" t="s">
        <v>206</v>
      </c>
      <c r="C24" s="401" t="s">
        <v>250</v>
      </c>
      <c r="D24" s="400" t="s">
        <v>134</v>
      </c>
      <c r="E24" s="400" t="s">
        <v>27</v>
      </c>
      <c r="F24" s="400" t="s">
        <v>27</v>
      </c>
      <c r="G24" s="400" t="s">
        <v>57</v>
      </c>
      <c r="H24" s="400" t="s">
        <v>66</v>
      </c>
      <c r="I24" s="400"/>
      <c r="J24" s="400"/>
      <c r="K24" s="400"/>
      <c r="L24" s="400"/>
      <c r="M24" s="400" t="s">
        <v>208</v>
      </c>
      <c r="N24" s="400" t="s">
        <v>209</v>
      </c>
      <c r="O24" s="400" t="s">
        <v>210</v>
      </c>
      <c r="P24" s="286" t="s">
        <v>67</v>
      </c>
      <c r="Q24" s="402">
        <v>84000000</v>
      </c>
      <c r="R24" s="402">
        <v>0</v>
      </c>
      <c r="S24" s="402">
        <v>0</v>
      </c>
      <c r="T24" s="402">
        <v>84000000</v>
      </c>
      <c r="U24" s="402">
        <v>0</v>
      </c>
      <c r="V24" s="402">
        <v>84000000</v>
      </c>
      <c r="W24" s="402">
        <v>0</v>
      </c>
      <c r="X24" s="402">
        <v>76667523</v>
      </c>
      <c r="Y24" s="402">
        <v>76667523</v>
      </c>
      <c r="Z24" s="402">
        <v>76667523</v>
      </c>
      <c r="AA24" s="402">
        <v>76667523</v>
      </c>
      <c r="AB24" s="402">
        <f t="shared" si="0"/>
        <v>7332477</v>
      </c>
    </row>
    <row r="25" spans="1:28" x14ac:dyDescent="0.3">
      <c r="A25" s="400" t="s">
        <v>205</v>
      </c>
      <c r="B25" s="286" t="s">
        <v>206</v>
      </c>
      <c r="C25" s="401" t="s">
        <v>251</v>
      </c>
      <c r="D25" s="400" t="s">
        <v>134</v>
      </c>
      <c r="E25" s="400" t="s">
        <v>27</v>
      </c>
      <c r="F25" s="400" t="s">
        <v>27</v>
      </c>
      <c r="G25" s="400" t="s">
        <v>57</v>
      </c>
      <c r="H25" s="400" t="s">
        <v>68</v>
      </c>
      <c r="I25" s="400"/>
      <c r="J25" s="400"/>
      <c r="K25" s="400"/>
      <c r="L25" s="400"/>
      <c r="M25" s="400" t="s">
        <v>208</v>
      </c>
      <c r="N25" s="400" t="s">
        <v>209</v>
      </c>
      <c r="O25" s="400" t="s">
        <v>210</v>
      </c>
      <c r="P25" s="286" t="s">
        <v>69</v>
      </c>
      <c r="Q25" s="402">
        <v>131448000</v>
      </c>
      <c r="R25" s="402">
        <v>0</v>
      </c>
      <c r="S25" s="402">
        <v>0</v>
      </c>
      <c r="T25" s="402">
        <v>131448000</v>
      </c>
      <c r="U25" s="402">
        <v>0</v>
      </c>
      <c r="V25" s="402">
        <v>131448000</v>
      </c>
      <c r="W25" s="402">
        <v>0</v>
      </c>
      <c r="X25" s="402">
        <v>63964040</v>
      </c>
      <c r="Y25" s="402">
        <v>63964040</v>
      </c>
      <c r="Z25" s="402">
        <v>63964040</v>
      </c>
      <c r="AA25" s="402">
        <v>63964040</v>
      </c>
      <c r="AB25" s="402">
        <f t="shared" si="0"/>
        <v>67483960</v>
      </c>
    </row>
    <row r="26" spans="1:28" x14ac:dyDescent="0.3">
      <c r="A26" s="400" t="s">
        <v>205</v>
      </c>
      <c r="B26" s="286" t="s">
        <v>206</v>
      </c>
      <c r="C26" s="401" t="s">
        <v>252</v>
      </c>
      <c r="D26" s="400" t="s">
        <v>134</v>
      </c>
      <c r="E26" s="400" t="s">
        <v>45</v>
      </c>
      <c r="F26" s="400" t="s">
        <v>27</v>
      </c>
      <c r="G26" s="400" t="s">
        <v>27</v>
      </c>
      <c r="H26" s="400" t="s">
        <v>51</v>
      </c>
      <c r="I26" s="400" t="s">
        <v>37</v>
      </c>
      <c r="J26" s="400"/>
      <c r="K26" s="400"/>
      <c r="L26" s="400"/>
      <c r="M26" s="400" t="s">
        <v>208</v>
      </c>
      <c r="N26" s="400" t="s">
        <v>209</v>
      </c>
      <c r="O26" s="400" t="s">
        <v>210</v>
      </c>
      <c r="P26" s="286" t="s">
        <v>92</v>
      </c>
      <c r="Q26" s="402">
        <v>50000000</v>
      </c>
      <c r="R26" s="402">
        <v>20000000</v>
      </c>
      <c r="S26" s="402">
        <v>0</v>
      </c>
      <c r="T26" s="402">
        <v>70000000</v>
      </c>
      <c r="U26" s="402">
        <v>0</v>
      </c>
      <c r="V26" s="402">
        <v>70000000</v>
      </c>
      <c r="W26" s="402">
        <v>0</v>
      </c>
      <c r="X26" s="402">
        <v>0</v>
      </c>
      <c r="Y26" s="402">
        <v>0</v>
      </c>
      <c r="Z26" s="402">
        <v>0</v>
      </c>
      <c r="AA26" s="402">
        <v>0</v>
      </c>
      <c r="AB26" s="402">
        <f t="shared" si="0"/>
        <v>70000000</v>
      </c>
    </row>
    <row r="27" spans="1:28" x14ac:dyDescent="0.3">
      <c r="A27" s="400" t="s">
        <v>205</v>
      </c>
      <c r="B27" s="286" t="s">
        <v>206</v>
      </c>
      <c r="C27" s="401" t="s">
        <v>253</v>
      </c>
      <c r="D27" s="400" t="s">
        <v>134</v>
      </c>
      <c r="E27" s="400" t="s">
        <v>45</v>
      </c>
      <c r="F27" s="400" t="s">
        <v>45</v>
      </c>
      <c r="G27" s="400" t="s">
        <v>27</v>
      </c>
      <c r="H27" s="400" t="s">
        <v>48</v>
      </c>
      <c r="I27" s="400" t="s">
        <v>33</v>
      </c>
      <c r="J27" s="400"/>
      <c r="K27" s="400"/>
      <c r="L27" s="400"/>
      <c r="M27" s="400" t="s">
        <v>208</v>
      </c>
      <c r="N27" s="400" t="s">
        <v>209</v>
      </c>
      <c r="O27" s="400" t="s">
        <v>210</v>
      </c>
      <c r="P27" s="286" t="s">
        <v>78</v>
      </c>
      <c r="Q27" s="402">
        <v>4319775</v>
      </c>
      <c r="R27" s="402">
        <v>0</v>
      </c>
      <c r="S27" s="402">
        <v>0</v>
      </c>
      <c r="T27" s="402">
        <v>4319775</v>
      </c>
      <c r="U27" s="402">
        <v>0</v>
      </c>
      <c r="V27" s="402">
        <v>4319775</v>
      </c>
      <c r="W27" s="402">
        <v>0</v>
      </c>
      <c r="X27" s="402">
        <v>3893697</v>
      </c>
      <c r="Y27" s="402">
        <v>3893697</v>
      </c>
      <c r="Z27" s="402">
        <v>3893697</v>
      </c>
      <c r="AA27" s="402">
        <v>3535997</v>
      </c>
      <c r="AB27" s="402">
        <f t="shared" si="0"/>
        <v>426078</v>
      </c>
    </row>
    <row r="28" spans="1:28" x14ac:dyDescent="0.3">
      <c r="A28" s="400" t="s">
        <v>205</v>
      </c>
      <c r="B28" s="286" t="s">
        <v>206</v>
      </c>
      <c r="C28" s="401" t="s">
        <v>254</v>
      </c>
      <c r="D28" s="400" t="s">
        <v>134</v>
      </c>
      <c r="E28" s="400" t="s">
        <v>45</v>
      </c>
      <c r="F28" s="400" t="s">
        <v>45</v>
      </c>
      <c r="G28" s="400" t="s">
        <v>27</v>
      </c>
      <c r="H28" s="400" t="s">
        <v>48</v>
      </c>
      <c r="I28" s="400" t="s">
        <v>35</v>
      </c>
      <c r="J28" s="400"/>
      <c r="K28" s="400"/>
      <c r="L28" s="400"/>
      <c r="M28" s="400" t="s">
        <v>208</v>
      </c>
      <c r="N28" s="400" t="s">
        <v>209</v>
      </c>
      <c r="O28" s="400" t="s">
        <v>210</v>
      </c>
      <c r="P28" s="286" t="s">
        <v>79</v>
      </c>
      <c r="Q28" s="402">
        <v>6502054</v>
      </c>
      <c r="R28" s="402">
        <v>0</v>
      </c>
      <c r="S28" s="402">
        <v>1502787.74</v>
      </c>
      <c r="T28" s="402">
        <v>4999266.26</v>
      </c>
      <c r="U28" s="402">
        <v>0</v>
      </c>
      <c r="V28" s="402">
        <v>4999266.26</v>
      </c>
      <c r="W28" s="402">
        <v>0</v>
      </c>
      <c r="X28" s="402">
        <v>4581208.99</v>
      </c>
      <c r="Y28" s="402">
        <v>1673542</v>
      </c>
      <c r="Z28" s="402">
        <v>1673542</v>
      </c>
      <c r="AA28" s="402">
        <v>1673542</v>
      </c>
      <c r="AB28" s="402">
        <f t="shared" si="0"/>
        <v>418057.26999999955</v>
      </c>
    </row>
    <row r="29" spans="1:28" x14ac:dyDescent="0.3">
      <c r="A29" s="400" t="s">
        <v>205</v>
      </c>
      <c r="B29" s="286" t="s">
        <v>206</v>
      </c>
      <c r="C29" s="401" t="s">
        <v>255</v>
      </c>
      <c r="D29" s="400" t="s">
        <v>134</v>
      </c>
      <c r="E29" s="400" t="s">
        <v>45</v>
      </c>
      <c r="F29" s="400" t="s">
        <v>45</v>
      </c>
      <c r="G29" s="400" t="s">
        <v>27</v>
      </c>
      <c r="H29" s="400" t="s">
        <v>48</v>
      </c>
      <c r="I29" s="400" t="s">
        <v>37</v>
      </c>
      <c r="J29" s="400"/>
      <c r="K29" s="400"/>
      <c r="L29" s="400"/>
      <c r="M29" s="400" t="s">
        <v>208</v>
      </c>
      <c r="N29" s="400" t="s">
        <v>209</v>
      </c>
      <c r="O29" s="400" t="s">
        <v>210</v>
      </c>
      <c r="P29" s="286" t="s">
        <v>80</v>
      </c>
      <c r="Q29" s="402">
        <v>488912</v>
      </c>
      <c r="R29" s="402">
        <v>0</v>
      </c>
      <c r="S29" s="402">
        <v>113000.48</v>
      </c>
      <c r="T29" s="402">
        <v>375911.52</v>
      </c>
      <c r="U29" s="402">
        <v>0</v>
      </c>
      <c r="V29" s="402">
        <v>375911.52</v>
      </c>
      <c r="W29" s="402">
        <v>0</v>
      </c>
      <c r="X29" s="402">
        <v>274636.39</v>
      </c>
      <c r="Y29" s="402">
        <v>161012.03</v>
      </c>
      <c r="Z29" s="402">
        <v>161012.03</v>
      </c>
      <c r="AA29" s="402">
        <v>161012.03</v>
      </c>
      <c r="AB29" s="402">
        <f t="shared" si="0"/>
        <v>101275.13</v>
      </c>
    </row>
    <row r="30" spans="1:28" x14ac:dyDescent="0.3">
      <c r="A30" s="400" t="s">
        <v>205</v>
      </c>
      <c r="B30" s="286" t="s">
        <v>206</v>
      </c>
      <c r="C30" s="401" t="s">
        <v>256</v>
      </c>
      <c r="D30" s="400" t="s">
        <v>134</v>
      </c>
      <c r="E30" s="400" t="s">
        <v>45</v>
      </c>
      <c r="F30" s="400" t="s">
        <v>45</v>
      </c>
      <c r="G30" s="400" t="s">
        <v>27</v>
      </c>
      <c r="H30" s="400" t="s">
        <v>33</v>
      </c>
      <c r="I30" s="400" t="s">
        <v>30</v>
      </c>
      <c r="J30" s="400"/>
      <c r="K30" s="400"/>
      <c r="L30" s="400"/>
      <c r="M30" s="400" t="s">
        <v>208</v>
      </c>
      <c r="N30" s="400" t="s">
        <v>209</v>
      </c>
      <c r="O30" s="400" t="s">
        <v>210</v>
      </c>
      <c r="P30" s="286" t="s">
        <v>82</v>
      </c>
      <c r="Q30" s="402">
        <v>288997</v>
      </c>
      <c r="R30" s="402">
        <v>0</v>
      </c>
      <c r="S30" s="402">
        <v>66795.039999999994</v>
      </c>
      <c r="T30" s="402">
        <v>222201.96</v>
      </c>
      <c r="U30" s="402">
        <v>0</v>
      </c>
      <c r="V30" s="402">
        <v>222201.96</v>
      </c>
      <c r="W30" s="402">
        <v>0</v>
      </c>
      <c r="X30" s="402">
        <v>148087.96</v>
      </c>
      <c r="Y30" s="402">
        <v>64788.6</v>
      </c>
      <c r="Z30" s="402">
        <v>64788.6</v>
      </c>
      <c r="AA30" s="402">
        <v>64788.6</v>
      </c>
      <c r="AB30" s="402">
        <f t="shared" si="0"/>
        <v>74114</v>
      </c>
    </row>
    <row r="31" spans="1:28" x14ac:dyDescent="0.3">
      <c r="A31" s="400" t="s">
        <v>205</v>
      </c>
      <c r="B31" s="286" t="s">
        <v>206</v>
      </c>
      <c r="C31" s="401" t="s">
        <v>257</v>
      </c>
      <c r="D31" s="400" t="s">
        <v>134</v>
      </c>
      <c r="E31" s="400" t="s">
        <v>45</v>
      </c>
      <c r="F31" s="400" t="s">
        <v>45</v>
      </c>
      <c r="G31" s="400" t="s">
        <v>27</v>
      </c>
      <c r="H31" s="400" t="s">
        <v>33</v>
      </c>
      <c r="I31" s="400" t="s">
        <v>48</v>
      </c>
      <c r="J31" s="400"/>
      <c r="K31" s="400"/>
      <c r="L31" s="400"/>
      <c r="M31" s="400" t="s">
        <v>208</v>
      </c>
      <c r="N31" s="400" t="s">
        <v>209</v>
      </c>
      <c r="O31" s="400" t="s">
        <v>210</v>
      </c>
      <c r="P31" s="286" t="s">
        <v>258</v>
      </c>
      <c r="Q31" s="402">
        <v>13708511</v>
      </c>
      <c r="R31" s="402">
        <v>4890814</v>
      </c>
      <c r="S31" s="402">
        <v>3168382.05</v>
      </c>
      <c r="T31" s="402">
        <v>15430942.949999999</v>
      </c>
      <c r="U31" s="402">
        <v>0</v>
      </c>
      <c r="V31" s="402">
        <v>15430942.949999999</v>
      </c>
      <c r="W31" s="402">
        <v>0</v>
      </c>
      <c r="X31" s="402">
        <v>9658724.4199999999</v>
      </c>
      <c r="Y31" s="402">
        <v>4211040.7300000004</v>
      </c>
      <c r="Z31" s="402">
        <v>4211040.7300000004</v>
      </c>
      <c r="AA31" s="402">
        <v>4211040.7300000004</v>
      </c>
      <c r="AB31" s="402">
        <f t="shared" si="0"/>
        <v>5772218.5299999993</v>
      </c>
    </row>
    <row r="32" spans="1:28" x14ac:dyDescent="0.3">
      <c r="A32" s="400" t="s">
        <v>205</v>
      </c>
      <c r="B32" s="286" t="s">
        <v>206</v>
      </c>
      <c r="C32" s="401" t="s">
        <v>259</v>
      </c>
      <c r="D32" s="400" t="s">
        <v>134</v>
      </c>
      <c r="E32" s="400" t="s">
        <v>45</v>
      </c>
      <c r="F32" s="400" t="s">
        <v>45</v>
      </c>
      <c r="G32" s="400" t="s">
        <v>27</v>
      </c>
      <c r="H32" s="400" t="s">
        <v>33</v>
      </c>
      <c r="I32" s="400" t="s">
        <v>33</v>
      </c>
      <c r="J32" s="400"/>
      <c r="K32" s="400"/>
      <c r="L32" s="400"/>
      <c r="M32" s="400" t="s">
        <v>208</v>
      </c>
      <c r="N32" s="400" t="s">
        <v>209</v>
      </c>
      <c r="O32" s="400" t="s">
        <v>210</v>
      </c>
      <c r="P32" s="286" t="s">
        <v>84</v>
      </c>
      <c r="Q32" s="402">
        <v>8542778</v>
      </c>
      <c r="R32" s="402">
        <v>15085556</v>
      </c>
      <c r="S32" s="402">
        <v>22628334</v>
      </c>
      <c r="T32" s="402">
        <v>1000000</v>
      </c>
      <c r="U32" s="402">
        <v>0</v>
      </c>
      <c r="V32" s="402">
        <v>1000000</v>
      </c>
      <c r="W32" s="402">
        <v>0</v>
      </c>
      <c r="X32" s="402">
        <v>500000</v>
      </c>
      <c r="Y32" s="402">
        <v>500000</v>
      </c>
      <c r="Z32" s="402">
        <v>500000</v>
      </c>
      <c r="AA32" s="402">
        <v>500000</v>
      </c>
      <c r="AB32" s="402">
        <f t="shared" si="0"/>
        <v>500000</v>
      </c>
    </row>
    <row r="33" spans="1:28" x14ac:dyDescent="0.3">
      <c r="A33" s="400" t="s">
        <v>205</v>
      </c>
      <c r="B33" s="286" t="s">
        <v>206</v>
      </c>
      <c r="C33" s="401" t="s">
        <v>260</v>
      </c>
      <c r="D33" s="400" t="s">
        <v>134</v>
      </c>
      <c r="E33" s="400" t="s">
        <v>45</v>
      </c>
      <c r="F33" s="400" t="s">
        <v>45</v>
      </c>
      <c r="G33" s="400" t="s">
        <v>27</v>
      </c>
      <c r="H33" s="400" t="s">
        <v>33</v>
      </c>
      <c r="I33" s="400" t="s">
        <v>51</v>
      </c>
      <c r="J33" s="400"/>
      <c r="K33" s="400"/>
      <c r="L33" s="400"/>
      <c r="M33" s="400" t="s">
        <v>208</v>
      </c>
      <c r="N33" s="400" t="s">
        <v>209</v>
      </c>
      <c r="O33" s="400" t="s">
        <v>210</v>
      </c>
      <c r="P33" s="286" t="s">
        <v>85</v>
      </c>
      <c r="Q33" s="402">
        <v>529754</v>
      </c>
      <c r="R33" s="402">
        <v>0</v>
      </c>
      <c r="S33" s="402">
        <v>122438.96</v>
      </c>
      <c r="T33" s="402">
        <v>407315.04</v>
      </c>
      <c r="U33" s="402">
        <v>0</v>
      </c>
      <c r="V33" s="402">
        <v>407315.04</v>
      </c>
      <c r="W33" s="402">
        <v>0</v>
      </c>
      <c r="X33" s="402">
        <v>373253.49</v>
      </c>
      <c r="Y33" s="402">
        <v>45242.86</v>
      </c>
      <c r="Z33" s="402">
        <v>45242.86</v>
      </c>
      <c r="AA33" s="402">
        <v>45242.86</v>
      </c>
      <c r="AB33" s="402">
        <f t="shared" si="0"/>
        <v>34061.549999999988</v>
      </c>
    </row>
    <row r="34" spans="1:28" x14ac:dyDescent="0.3">
      <c r="A34" s="400" t="s">
        <v>205</v>
      </c>
      <c r="B34" s="286" t="s">
        <v>206</v>
      </c>
      <c r="C34" s="401" t="s">
        <v>261</v>
      </c>
      <c r="D34" s="400" t="s">
        <v>134</v>
      </c>
      <c r="E34" s="400" t="s">
        <v>45</v>
      </c>
      <c r="F34" s="400" t="s">
        <v>45</v>
      </c>
      <c r="G34" s="400" t="s">
        <v>27</v>
      </c>
      <c r="H34" s="400" t="s">
        <v>33</v>
      </c>
      <c r="I34" s="400" t="s">
        <v>53</v>
      </c>
      <c r="J34" s="400"/>
      <c r="K34" s="400"/>
      <c r="L34" s="400"/>
      <c r="M34" s="400" t="s">
        <v>208</v>
      </c>
      <c r="N34" s="400" t="s">
        <v>209</v>
      </c>
      <c r="O34" s="400" t="s">
        <v>210</v>
      </c>
      <c r="P34" s="286" t="s">
        <v>86</v>
      </c>
      <c r="Q34" s="402">
        <v>9812281</v>
      </c>
      <c r="R34" s="402">
        <v>0</v>
      </c>
      <c r="S34" s="402">
        <v>2267865.86</v>
      </c>
      <c r="T34" s="402">
        <v>7544415.1399999997</v>
      </c>
      <c r="U34" s="402">
        <v>0</v>
      </c>
      <c r="V34" s="402">
        <v>7544415.1399999997</v>
      </c>
      <c r="W34" s="402">
        <v>0</v>
      </c>
      <c r="X34" s="402">
        <v>6168922.79</v>
      </c>
      <c r="Y34" s="402">
        <v>2069312.45</v>
      </c>
      <c r="Z34" s="402">
        <v>2069312.45</v>
      </c>
      <c r="AA34" s="402">
        <v>2069312.45</v>
      </c>
      <c r="AB34" s="402">
        <f t="shared" si="0"/>
        <v>1375492.3499999996</v>
      </c>
    </row>
    <row r="35" spans="1:28" x14ac:dyDescent="0.3">
      <c r="A35" s="400" t="s">
        <v>205</v>
      </c>
      <c r="B35" s="286" t="s">
        <v>206</v>
      </c>
      <c r="C35" s="401" t="s">
        <v>262</v>
      </c>
      <c r="D35" s="400" t="s">
        <v>134</v>
      </c>
      <c r="E35" s="400" t="s">
        <v>45</v>
      </c>
      <c r="F35" s="400" t="s">
        <v>45</v>
      </c>
      <c r="G35" s="400" t="s">
        <v>27</v>
      </c>
      <c r="H35" s="400" t="s">
        <v>33</v>
      </c>
      <c r="I35" s="400" t="s">
        <v>35</v>
      </c>
      <c r="J35" s="400"/>
      <c r="K35" s="400"/>
      <c r="L35" s="400"/>
      <c r="M35" s="400" t="s">
        <v>208</v>
      </c>
      <c r="N35" s="400" t="s">
        <v>209</v>
      </c>
      <c r="O35" s="400" t="s">
        <v>210</v>
      </c>
      <c r="P35" s="286" t="s">
        <v>87</v>
      </c>
      <c r="Q35" s="402">
        <v>3368082</v>
      </c>
      <c r="R35" s="402">
        <v>4563946</v>
      </c>
      <c r="S35" s="402">
        <v>545496</v>
      </c>
      <c r="T35" s="402">
        <v>7386532</v>
      </c>
      <c r="U35" s="402">
        <v>0</v>
      </c>
      <c r="V35" s="402">
        <v>7386532</v>
      </c>
      <c r="W35" s="402">
        <v>0</v>
      </c>
      <c r="X35" s="402">
        <v>2291227.4</v>
      </c>
      <c r="Y35" s="402">
        <v>673257.12</v>
      </c>
      <c r="Z35" s="402">
        <v>673257.12</v>
      </c>
      <c r="AA35" s="402">
        <v>673257.12</v>
      </c>
      <c r="AB35" s="402">
        <f t="shared" si="0"/>
        <v>5095304.5999999996</v>
      </c>
    </row>
    <row r="36" spans="1:28" x14ac:dyDescent="0.3">
      <c r="A36" s="400" t="s">
        <v>205</v>
      </c>
      <c r="B36" s="286" t="s">
        <v>206</v>
      </c>
      <c r="C36" s="401" t="s">
        <v>263</v>
      </c>
      <c r="D36" s="400" t="s">
        <v>134</v>
      </c>
      <c r="E36" s="400" t="s">
        <v>45</v>
      </c>
      <c r="F36" s="400" t="s">
        <v>45</v>
      </c>
      <c r="G36" s="400" t="s">
        <v>27</v>
      </c>
      <c r="H36" s="400" t="s">
        <v>33</v>
      </c>
      <c r="I36" s="400" t="s">
        <v>39</v>
      </c>
      <c r="J36" s="400"/>
      <c r="K36" s="400"/>
      <c r="L36" s="400"/>
      <c r="M36" s="400" t="s">
        <v>208</v>
      </c>
      <c r="N36" s="400" t="s">
        <v>209</v>
      </c>
      <c r="O36" s="400" t="s">
        <v>210</v>
      </c>
      <c r="P36" s="286" t="s">
        <v>88</v>
      </c>
      <c r="Q36" s="402">
        <v>521536</v>
      </c>
      <c r="R36" s="402">
        <v>0</v>
      </c>
      <c r="S36" s="402">
        <v>120540.11</v>
      </c>
      <c r="T36" s="402">
        <v>400995.89</v>
      </c>
      <c r="U36" s="402">
        <v>0</v>
      </c>
      <c r="V36" s="402">
        <v>400995.89</v>
      </c>
      <c r="W36" s="402">
        <v>0</v>
      </c>
      <c r="X36" s="402">
        <v>267245.89</v>
      </c>
      <c r="Y36" s="402">
        <v>80233.75</v>
      </c>
      <c r="Z36" s="402">
        <v>80233.75</v>
      </c>
      <c r="AA36" s="402">
        <v>80233.75</v>
      </c>
      <c r="AB36" s="402">
        <f t="shared" si="0"/>
        <v>133750</v>
      </c>
    </row>
    <row r="37" spans="1:28" x14ac:dyDescent="0.3">
      <c r="A37" s="400" t="s">
        <v>205</v>
      </c>
      <c r="B37" s="286" t="s">
        <v>206</v>
      </c>
      <c r="C37" s="401" t="s">
        <v>264</v>
      </c>
      <c r="D37" s="400" t="s">
        <v>134</v>
      </c>
      <c r="E37" s="400" t="s">
        <v>45</v>
      </c>
      <c r="F37" s="400" t="s">
        <v>45</v>
      </c>
      <c r="G37" s="400" t="s">
        <v>27</v>
      </c>
      <c r="H37" s="400" t="s">
        <v>51</v>
      </c>
      <c r="I37" s="400" t="s">
        <v>48</v>
      </c>
      <c r="J37" s="400"/>
      <c r="K37" s="400"/>
      <c r="L37" s="400"/>
      <c r="M37" s="400" t="s">
        <v>208</v>
      </c>
      <c r="N37" s="400" t="s">
        <v>209</v>
      </c>
      <c r="O37" s="400" t="s">
        <v>210</v>
      </c>
      <c r="P37" s="286" t="s">
        <v>90</v>
      </c>
      <c r="Q37" s="402">
        <v>113724</v>
      </c>
      <c r="R37" s="402">
        <v>0</v>
      </c>
      <c r="S37" s="402">
        <v>0</v>
      </c>
      <c r="T37" s="402">
        <v>113724</v>
      </c>
      <c r="U37" s="402">
        <v>0</v>
      </c>
      <c r="V37" s="402">
        <v>18677</v>
      </c>
      <c r="W37" s="402">
        <v>95047</v>
      </c>
      <c r="X37" s="402">
        <v>0</v>
      </c>
      <c r="Y37" s="402">
        <v>0</v>
      </c>
      <c r="Z37" s="402">
        <v>0</v>
      </c>
      <c r="AA37" s="402">
        <v>0</v>
      </c>
      <c r="AB37" s="402">
        <f t="shared" si="0"/>
        <v>18677</v>
      </c>
    </row>
    <row r="38" spans="1:28" x14ac:dyDescent="0.3">
      <c r="A38" s="400" t="s">
        <v>205</v>
      </c>
      <c r="B38" s="286" t="s">
        <v>206</v>
      </c>
      <c r="C38" s="401" t="s">
        <v>265</v>
      </c>
      <c r="D38" s="400" t="s">
        <v>134</v>
      </c>
      <c r="E38" s="400" t="s">
        <v>45</v>
      </c>
      <c r="F38" s="400" t="s">
        <v>45</v>
      </c>
      <c r="G38" s="400" t="s">
        <v>27</v>
      </c>
      <c r="H38" s="400" t="s">
        <v>51</v>
      </c>
      <c r="I38" s="400" t="s">
        <v>35</v>
      </c>
      <c r="J38" s="400"/>
      <c r="K38" s="400"/>
      <c r="L38" s="400"/>
      <c r="M38" s="400" t="s">
        <v>208</v>
      </c>
      <c r="N38" s="400" t="s">
        <v>209</v>
      </c>
      <c r="O38" s="400" t="s">
        <v>210</v>
      </c>
      <c r="P38" s="286" t="s">
        <v>91</v>
      </c>
      <c r="Q38" s="402">
        <v>127940</v>
      </c>
      <c r="R38" s="402">
        <v>146865</v>
      </c>
      <c r="S38" s="402">
        <v>0</v>
      </c>
      <c r="T38" s="402">
        <v>274805</v>
      </c>
      <c r="U38" s="402">
        <v>0</v>
      </c>
      <c r="V38" s="402">
        <v>274805</v>
      </c>
      <c r="W38" s="402">
        <v>0</v>
      </c>
      <c r="X38" s="402">
        <v>0</v>
      </c>
      <c r="Y38" s="402">
        <v>0</v>
      </c>
      <c r="Z38" s="402">
        <v>0</v>
      </c>
      <c r="AA38" s="402">
        <v>0</v>
      </c>
      <c r="AB38" s="402">
        <f t="shared" si="0"/>
        <v>274805</v>
      </c>
    </row>
    <row r="39" spans="1:28" x14ac:dyDescent="0.3">
      <c r="A39" s="400" t="s">
        <v>205</v>
      </c>
      <c r="B39" s="286" t="s">
        <v>206</v>
      </c>
      <c r="C39" s="401" t="s">
        <v>266</v>
      </c>
      <c r="D39" s="400" t="s">
        <v>134</v>
      </c>
      <c r="E39" s="400" t="s">
        <v>45</v>
      </c>
      <c r="F39" s="400" t="s">
        <v>45</v>
      </c>
      <c r="G39" s="400" t="s">
        <v>27</v>
      </c>
      <c r="H39" s="400" t="s">
        <v>51</v>
      </c>
      <c r="I39" s="400" t="s">
        <v>37</v>
      </c>
      <c r="J39" s="400"/>
      <c r="K39" s="400"/>
      <c r="L39" s="400"/>
      <c r="M39" s="400" t="s">
        <v>208</v>
      </c>
      <c r="N39" s="400" t="s">
        <v>209</v>
      </c>
      <c r="O39" s="400" t="s">
        <v>210</v>
      </c>
      <c r="P39" s="286" t="s">
        <v>92</v>
      </c>
      <c r="Q39" s="402">
        <v>1053000</v>
      </c>
      <c r="R39" s="402">
        <v>2287457594</v>
      </c>
      <c r="S39" s="402">
        <v>70506936</v>
      </c>
      <c r="T39" s="402">
        <v>2218003658</v>
      </c>
      <c r="U39" s="402">
        <v>0</v>
      </c>
      <c r="V39" s="402">
        <v>139964895</v>
      </c>
      <c r="W39" s="402">
        <v>2078038763</v>
      </c>
      <c r="X39" s="402">
        <v>65433380</v>
      </c>
      <c r="Y39" s="402">
        <v>65016880</v>
      </c>
      <c r="Z39" s="402">
        <v>65016880</v>
      </c>
      <c r="AA39" s="402">
        <v>65016880</v>
      </c>
      <c r="AB39" s="402">
        <f t="shared" si="0"/>
        <v>74531515</v>
      </c>
    </row>
    <row r="40" spans="1:28" x14ac:dyDescent="0.3">
      <c r="A40" s="400" t="s">
        <v>205</v>
      </c>
      <c r="B40" s="286" t="s">
        <v>206</v>
      </c>
      <c r="C40" s="401" t="s">
        <v>267</v>
      </c>
      <c r="D40" s="400" t="s">
        <v>134</v>
      </c>
      <c r="E40" s="400" t="s">
        <v>45</v>
      </c>
      <c r="F40" s="400" t="s">
        <v>45</v>
      </c>
      <c r="G40" s="400" t="s">
        <v>27</v>
      </c>
      <c r="H40" s="400" t="s">
        <v>51</v>
      </c>
      <c r="I40" s="400" t="s">
        <v>39</v>
      </c>
      <c r="J40" s="400"/>
      <c r="K40" s="400"/>
      <c r="L40" s="400"/>
      <c r="M40" s="400" t="s">
        <v>208</v>
      </c>
      <c r="N40" s="400" t="s">
        <v>209</v>
      </c>
      <c r="O40" s="400" t="s">
        <v>210</v>
      </c>
      <c r="P40" s="286" t="s">
        <v>93</v>
      </c>
      <c r="Q40" s="402">
        <v>486200</v>
      </c>
      <c r="R40" s="402">
        <v>0</v>
      </c>
      <c r="S40" s="402">
        <v>0</v>
      </c>
      <c r="T40" s="402">
        <v>486200</v>
      </c>
      <c r="U40" s="402">
        <v>0</v>
      </c>
      <c r="V40" s="402">
        <v>486200</v>
      </c>
      <c r="W40" s="402">
        <v>0</v>
      </c>
      <c r="X40" s="402">
        <v>0</v>
      </c>
      <c r="Y40" s="402">
        <v>0</v>
      </c>
      <c r="Z40" s="402">
        <v>0</v>
      </c>
      <c r="AA40" s="402">
        <v>0</v>
      </c>
      <c r="AB40" s="402">
        <f t="shared" si="0"/>
        <v>486200</v>
      </c>
    </row>
    <row r="41" spans="1:28" x14ac:dyDescent="0.3">
      <c r="A41" s="400" t="s">
        <v>205</v>
      </c>
      <c r="B41" s="286" t="s">
        <v>206</v>
      </c>
      <c r="C41" s="401" t="s">
        <v>268</v>
      </c>
      <c r="D41" s="400" t="s">
        <v>134</v>
      </c>
      <c r="E41" s="400" t="s">
        <v>45</v>
      </c>
      <c r="F41" s="400" t="s">
        <v>45</v>
      </c>
      <c r="G41" s="400" t="s">
        <v>45</v>
      </c>
      <c r="H41" s="400" t="s">
        <v>35</v>
      </c>
      <c r="I41" s="400" t="s">
        <v>33</v>
      </c>
      <c r="J41" s="400"/>
      <c r="K41" s="400"/>
      <c r="L41" s="400"/>
      <c r="M41" s="400" t="s">
        <v>208</v>
      </c>
      <c r="N41" s="400" t="s">
        <v>209</v>
      </c>
      <c r="O41" s="400" t="s">
        <v>210</v>
      </c>
      <c r="P41" s="286" t="s">
        <v>95</v>
      </c>
      <c r="Q41" s="402">
        <v>39971405</v>
      </c>
      <c r="R41" s="402">
        <v>0</v>
      </c>
      <c r="S41" s="402">
        <v>10570790.789999999</v>
      </c>
      <c r="T41" s="402">
        <v>29400614.210000001</v>
      </c>
      <c r="U41" s="402">
        <v>0</v>
      </c>
      <c r="V41" s="402">
        <v>29400614.210000001</v>
      </c>
      <c r="W41" s="402">
        <v>0</v>
      </c>
      <c r="X41" s="402">
        <v>27427515.66</v>
      </c>
      <c r="Y41" s="402">
        <v>11198688.550000001</v>
      </c>
      <c r="Z41" s="402">
        <v>11198688.550000001</v>
      </c>
      <c r="AA41" s="402">
        <v>11198688.550000001</v>
      </c>
      <c r="AB41" s="402">
        <f t="shared" si="0"/>
        <v>1973098.5500000007</v>
      </c>
    </row>
    <row r="42" spans="1:28" x14ac:dyDescent="0.3">
      <c r="A42" s="400" t="s">
        <v>205</v>
      </c>
      <c r="B42" s="286" t="s">
        <v>206</v>
      </c>
      <c r="C42" s="401" t="s">
        <v>269</v>
      </c>
      <c r="D42" s="400" t="s">
        <v>134</v>
      </c>
      <c r="E42" s="400" t="s">
        <v>45</v>
      </c>
      <c r="F42" s="400" t="s">
        <v>45</v>
      </c>
      <c r="G42" s="400" t="s">
        <v>45</v>
      </c>
      <c r="H42" s="400" t="s">
        <v>35</v>
      </c>
      <c r="I42" s="400" t="s">
        <v>51</v>
      </c>
      <c r="J42" s="400"/>
      <c r="K42" s="400"/>
      <c r="L42" s="400"/>
      <c r="M42" s="400" t="s">
        <v>208</v>
      </c>
      <c r="N42" s="400" t="s">
        <v>209</v>
      </c>
      <c r="O42" s="400" t="s">
        <v>210</v>
      </c>
      <c r="P42" s="286" t="s">
        <v>96</v>
      </c>
      <c r="Q42" s="402">
        <v>239876891</v>
      </c>
      <c r="R42" s="402">
        <v>885800643</v>
      </c>
      <c r="S42" s="402">
        <v>239265849</v>
      </c>
      <c r="T42" s="402">
        <v>886411685</v>
      </c>
      <c r="U42" s="402">
        <v>0</v>
      </c>
      <c r="V42" s="402">
        <v>873901141.50999999</v>
      </c>
      <c r="W42" s="402">
        <v>12510543.49</v>
      </c>
      <c r="X42" s="402">
        <v>743577433.90999997</v>
      </c>
      <c r="Y42" s="402">
        <v>482732617.13</v>
      </c>
      <c r="Z42" s="402">
        <v>482732617.13</v>
      </c>
      <c r="AA42" s="402">
        <v>482732617.13</v>
      </c>
      <c r="AB42" s="402">
        <f t="shared" si="0"/>
        <v>130323707.60000002</v>
      </c>
    </row>
    <row r="43" spans="1:28" x14ac:dyDescent="0.3">
      <c r="A43" s="400" t="s">
        <v>205</v>
      </c>
      <c r="B43" s="286" t="s">
        <v>206</v>
      </c>
      <c r="C43" s="401" t="s">
        <v>270</v>
      </c>
      <c r="D43" s="400" t="s">
        <v>134</v>
      </c>
      <c r="E43" s="400" t="s">
        <v>45</v>
      </c>
      <c r="F43" s="400" t="s">
        <v>45</v>
      </c>
      <c r="G43" s="400" t="s">
        <v>45</v>
      </c>
      <c r="H43" s="400" t="s">
        <v>35</v>
      </c>
      <c r="I43" s="400" t="s">
        <v>39</v>
      </c>
      <c r="J43" s="400"/>
      <c r="K43" s="400"/>
      <c r="L43" s="400"/>
      <c r="M43" s="400" t="s">
        <v>208</v>
      </c>
      <c r="N43" s="400" t="s">
        <v>209</v>
      </c>
      <c r="O43" s="400" t="s">
        <v>210</v>
      </c>
      <c r="P43" s="286" t="s">
        <v>97</v>
      </c>
      <c r="Q43" s="402">
        <v>75551501</v>
      </c>
      <c r="R43" s="402">
        <v>14259319</v>
      </c>
      <c r="S43" s="402">
        <v>0</v>
      </c>
      <c r="T43" s="402">
        <v>89810820</v>
      </c>
      <c r="U43" s="402">
        <v>0</v>
      </c>
      <c r="V43" s="402">
        <v>82810820</v>
      </c>
      <c r="W43" s="402">
        <v>7000000</v>
      </c>
      <c r="X43" s="402">
        <v>75551501</v>
      </c>
      <c r="Y43" s="402">
        <v>51426750</v>
      </c>
      <c r="Z43" s="402">
        <v>51426750</v>
      </c>
      <c r="AA43" s="402">
        <v>51426750</v>
      </c>
      <c r="AB43" s="402">
        <f t="shared" si="0"/>
        <v>7259319</v>
      </c>
    </row>
    <row r="44" spans="1:28" x14ac:dyDescent="0.3">
      <c r="A44" s="400" t="s">
        <v>205</v>
      </c>
      <c r="B44" s="286" t="s">
        <v>206</v>
      </c>
      <c r="C44" s="401" t="s">
        <v>271</v>
      </c>
      <c r="D44" s="400" t="s">
        <v>134</v>
      </c>
      <c r="E44" s="400" t="s">
        <v>45</v>
      </c>
      <c r="F44" s="400" t="s">
        <v>45</v>
      </c>
      <c r="G44" s="400" t="s">
        <v>45</v>
      </c>
      <c r="H44" s="400" t="s">
        <v>35</v>
      </c>
      <c r="I44" s="400" t="s">
        <v>41</v>
      </c>
      <c r="J44" s="400"/>
      <c r="K44" s="400"/>
      <c r="L44" s="400"/>
      <c r="M44" s="400" t="s">
        <v>208</v>
      </c>
      <c r="N44" s="400" t="s">
        <v>209</v>
      </c>
      <c r="O44" s="400" t="s">
        <v>210</v>
      </c>
      <c r="P44" s="286" t="s">
        <v>98</v>
      </c>
      <c r="Q44" s="402">
        <v>158484569</v>
      </c>
      <c r="R44" s="402">
        <v>0</v>
      </c>
      <c r="S44" s="402">
        <v>219375</v>
      </c>
      <c r="T44" s="402">
        <v>158265194</v>
      </c>
      <c r="U44" s="402">
        <v>0</v>
      </c>
      <c r="V44" s="402">
        <v>158265194</v>
      </c>
      <c r="W44" s="402">
        <v>0</v>
      </c>
      <c r="X44" s="402">
        <v>94821350</v>
      </c>
      <c r="Y44" s="402">
        <v>94821350</v>
      </c>
      <c r="Z44" s="402">
        <v>94821350</v>
      </c>
      <c r="AA44" s="402">
        <v>94821350</v>
      </c>
      <c r="AB44" s="402">
        <f t="shared" si="0"/>
        <v>63443844</v>
      </c>
    </row>
    <row r="45" spans="1:28" x14ac:dyDescent="0.3">
      <c r="A45" s="400" t="s">
        <v>205</v>
      </c>
      <c r="B45" s="286" t="s">
        <v>206</v>
      </c>
      <c r="C45" s="401" t="s">
        <v>272</v>
      </c>
      <c r="D45" s="400" t="s">
        <v>134</v>
      </c>
      <c r="E45" s="400" t="s">
        <v>45</v>
      </c>
      <c r="F45" s="400" t="s">
        <v>45</v>
      </c>
      <c r="G45" s="400" t="s">
        <v>45</v>
      </c>
      <c r="H45" s="400" t="s">
        <v>37</v>
      </c>
      <c r="I45" s="400" t="s">
        <v>30</v>
      </c>
      <c r="J45" s="400"/>
      <c r="K45" s="400"/>
      <c r="L45" s="400"/>
      <c r="M45" s="400" t="s">
        <v>208</v>
      </c>
      <c r="N45" s="400" t="s">
        <v>209</v>
      </c>
      <c r="O45" s="400" t="s">
        <v>210</v>
      </c>
      <c r="P45" s="286" t="s">
        <v>100</v>
      </c>
      <c r="Q45" s="402">
        <v>5000000</v>
      </c>
      <c r="R45" s="402">
        <v>245640943</v>
      </c>
      <c r="S45" s="402">
        <v>0</v>
      </c>
      <c r="T45" s="402">
        <v>250640943</v>
      </c>
      <c r="U45" s="402">
        <v>0</v>
      </c>
      <c r="V45" s="402">
        <v>126244813</v>
      </c>
      <c r="W45" s="402">
        <v>124396130</v>
      </c>
      <c r="X45" s="402">
        <v>5000000</v>
      </c>
      <c r="Y45" s="402">
        <v>134982</v>
      </c>
      <c r="Z45" s="402">
        <v>134982</v>
      </c>
      <c r="AA45" s="402">
        <v>134982</v>
      </c>
      <c r="AB45" s="402">
        <f t="shared" si="0"/>
        <v>121244813</v>
      </c>
    </row>
    <row r="46" spans="1:28" x14ac:dyDescent="0.3">
      <c r="A46" s="400" t="s">
        <v>205</v>
      </c>
      <c r="B46" s="286" t="s">
        <v>206</v>
      </c>
      <c r="C46" s="401" t="s">
        <v>273</v>
      </c>
      <c r="D46" s="400" t="s">
        <v>134</v>
      </c>
      <c r="E46" s="400" t="s">
        <v>45</v>
      </c>
      <c r="F46" s="400" t="s">
        <v>45</v>
      </c>
      <c r="G46" s="400" t="s">
        <v>45</v>
      </c>
      <c r="H46" s="400" t="s">
        <v>37</v>
      </c>
      <c r="I46" s="400" t="s">
        <v>48</v>
      </c>
      <c r="J46" s="400"/>
      <c r="K46" s="400"/>
      <c r="L46" s="400"/>
      <c r="M46" s="400" t="s">
        <v>208</v>
      </c>
      <c r="N46" s="400" t="s">
        <v>209</v>
      </c>
      <c r="O46" s="400" t="s">
        <v>210</v>
      </c>
      <c r="P46" s="286" t="s">
        <v>101</v>
      </c>
      <c r="Q46" s="402">
        <v>2659947026</v>
      </c>
      <c r="R46" s="402">
        <v>946816781</v>
      </c>
      <c r="S46" s="402">
        <v>564916781</v>
      </c>
      <c r="T46" s="402">
        <v>3041847026</v>
      </c>
      <c r="U46" s="402">
        <v>0</v>
      </c>
      <c r="V46" s="402">
        <v>3041847026</v>
      </c>
      <c r="W46" s="402">
        <v>0</v>
      </c>
      <c r="X46" s="402">
        <v>2659947026</v>
      </c>
      <c r="Y46" s="402">
        <v>1934506928</v>
      </c>
      <c r="Z46" s="402">
        <v>1934506928</v>
      </c>
      <c r="AA46" s="402">
        <v>1934506928</v>
      </c>
      <c r="AB46" s="402">
        <f t="shared" si="0"/>
        <v>381900000</v>
      </c>
    </row>
    <row r="47" spans="1:28" x14ac:dyDescent="0.3">
      <c r="A47" s="400" t="s">
        <v>205</v>
      </c>
      <c r="B47" s="286" t="s">
        <v>206</v>
      </c>
      <c r="C47" s="401" t="s">
        <v>274</v>
      </c>
      <c r="D47" s="400" t="s">
        <v>134</v>
      </c>
      <c r="E47" s="400" t="s">
        <v>45</v>
      </c>
      <c r="F47" s="400" t="s">
        <v>45</v>
      </c>
      <c r="G47" s="400" t="s">
        <v>45</v>
      </c>
      <c r="H47" s="400" t="s">
        <v>37</v>
      </c>
      <c r="I47" s="400" t="s">
        <v>33</v>
      </c>
      <c r="J47" s="400"/>
      <c r="K47" s="400"/>
      <c r="L47" s="400"/>
      <c r="M47" s="400" t="s">
        <v>208</v>
      </c>
      <c r="N47" s="400" t="s">
        <v>209</v>
      </c>
      <c r="O47" s="400" t="s">
        <v>210</v>
      </c>
      <c r="P47" s="286" t="s">
        <v>102</v>
      </c>
      <c r="Q47" s="402">
        <v>82484454</v>
      </c>
      <c r="R47" s="402">
        <v>36612691</v>
      </c>
      <c r="S47" s="402">
        <v>58849</v>
      </c>
      <c r="T47" s="402">
        <v>119038296</v>
      </c>
      <c r="U47" s="402">
        <v>0</v>
      </c>
      <c r="V47" s="402">
        <v>119038296</v>
      </c>
      <c r="W47" s="402">
        <v>0</v>
      </c>
      <c r="X47" s="402">
        <v>99225604.840000004</v>
      </c>
      <c r="Y47" s="402">
        <v>67883969.650000006</v>
      </c>
      <c r="Z47" s="402">
        <v>67883969.650000006</v>
      </c>
      <c r="AA47" s="402">
        <v>67883969.650000006</v>
      </c>
      <c r="AB47" s="402">
        <f t="shared" si="0"/>
        <v>19812691.159999996</v>
      </c>
    </row>
    <row r="48" spans="1:28" x14ac:dyDescent="0.3">
      <c r="A48" s="400" t="s">
        <v>205</v>
      </c>
      <c r="B48" s="286" t="s">
        <v>206</v>
      </c>
      <c r="C48" s="401" t="s">
        <v>275</v>
      </c>
      <c r="D48" s="400" t="s">
        <v>134</v>
      </c>
      <c r="E48" s="400" t="s">
        <v>45</v>
      </c>
      <c r="F48" s="400" t="s">
        <v>45</v>
      </c>
      <c r="G48" s="400" t="s">
        <v>45</v>
      </c>
      <c r="H48" s="400" t="s">
        <v>39</v>
      </c>
      <c r="I48" s="400" t="s">
        <v>48</v>
      </c>
      <c r="J48" s="400"/>
      <c r="K48" s="400"/>
      <c r="L48" s="400"/>
      <c r="M48" s="400" t="s">
        <v>208</v>
      </c>
      <c r="N48" s="400" t="s">
        <v>209</v>
      </c>
      <c r="O48" s="400" t="s">
        <v>210</v>
      </c>
      <c r="P48" s="286" t="s">
        <v>104</v>
      </c>
      <c r="Q48" s="402">
        <v>4744675219</v>
      </c>
      <c r="R48" s="402">
        <v>2926527410</v>
      </c>
      <c r="S48" s="402">
        <v>18529872</v>
      </c>
      <c r="T48" s="402">
        <v>7652672757</v>
      </c>
      <c r="U48" s="402">
        <v>0</v>
      </c>
      <c r="V48" s="402">
        <v>6716651930.7399998</v>
      </c>
      <c r="W48" s="402">
        <v>936020826.25999999</v>
      </c>
      <c r="X48" s="402">
        <v>5916481925.6000004</v>
      </c>
      <c r="Y48" s="402">
        <v>4330048591.46</v>
      </c>
      <c r="Z48" s="402">
        <v>4330048591.46</v>
      </c>
      <c r="AA48" s="402">
        <v>4330037167.46</v>
      </c>
      <c r="AB48" s="402">
        <f t="shared" si="0"/>
        <v>800170005.13999939</v>
      </c>
    </row>
    <row r="49" spans="1:28" x14ac:dyDescent="0.3">
      <c r="A49" s="400" t="s">
        <v>205</v>
      </c>
      <c r="B49" s="286" t="s">
        <v>206</v>
      </c>
      <c r="C49" s="401" t="s">
        <v>276</v>
      </c>
      <c r="D49" s="400" t="s">
        <v>134</v>
      </c>
      <c r="E49" s="400" t="s">
        <v>45</v>
      </c>
      <c r="F49" s="400" t="s">
        <v>45</v>
      </c>
      <c r="G49" s="400" t="s">
        <v>45</v>
      </c>
      <c r="H49" s="400" t="s">
        <v>39</v>
      </c>
      <c r="I49" s="400" t="s">
        <v>33</v>
      </c>
      <c r="J49" s="400"/>
      <c r="K49" s="400"/>
      <c r="L49" s="400"/>
      <c r="M49" s="400" t="s">
        <v>208</v>
      </c>
      <c r="N49" s="400" t="s">
        <v>209</v>
      </c>
      <c r="O49" s="400" t="s">
        <v>210</v>
      </c>
      <c r="P49" s="286" t="s">
        <v>105</v>
      </c>
      <c r="Q49" s="402">
        <v>3394553971</v>
      </c>
      <c r="R49" s="402">
        <v>1385162582</v>
      </c>
      <c r="S49" s="402">
        <v>98060817</v>
      </c>
      <c r="T49" s="402">
        <v>4681655736</v>
      </c>
      <c r="U49" s="402">
        <v>0</v>
      </c>
      <c r="V49" s="402">
        <v>4326832819.6700001</v>
      </c>
      <c r="W49" s="402">
        <v>354822916.32999998</v>
      </c>
      <c r="X49" s="402">
        <v>3472082677.9899998</v>
      </c>
      <c r="Y49" s="402">
        <v>1991288820.8399999</v>
      </c>
      <c r="Z49" s="402">
        <v>1991288820.8399999</v>
      </c>
      <c r="AA49" s="402">
        <v>1991288820.8399999</v>
      </c>
      <c r="AB49" s="402">
        <f t="shared" si="0"/>
        <v>854750141.68000031</v>
      </c>
    </row>
    <row r="50" spans="1:28" x14ac:dyDescent="0.3">
      <c r="A50" s="400" t="s">
        <v>205</v>
      </c>
      <c r="B50" s="286" t="s">
        <v>206</v>
      </c>
      <c r="C50" s="401" t="s">
        <v>277</v>
      </c>
      <c r="D50" s="400" t="s">
        <v>134</v>
      </c>
      <c r="E50" s="400" t="s">
        <v>45</v>
      </c>
      <c r="F50" s="400" t="s">
        <v>45</v>
      </c>
      <c r="G50" s="400" t="s">
        <v>45</v>
      </c>
      <c r="H50" s="400" t="s">
        <v>39</v>
      </c>
      <c r="I50" s="400" t="s">
        <v>51</v>
      </c>
      <c r="J50" s="400"/>
      <c r="K50" s="400"/>
      <c r="L50" s="400"/>
      <c r="M50" s="400" t="s">
        <v>208</v>
      </c>
      <c r="N50" s="400" t="s">
        <v>209</v>
      </c>
      <c r="O50" s="400" t="s">
        <v>210</v>
      </c>
      <c r="P50" s="286" t="s">
        <v>106</v>
      </c>
      <c r="Q50" s="402">
        <v>214431235</v>
      </c>
      <c r="R50" s="402">
        <v>623764490</v>
      </c>
      <c r="S50" s="402">
        <v>191914469</v>
      </c>
      <c r="T50" s="402">
        <v>646281256</v>
      </c>
      <c r="U50" s="402">
        <v>0</v>
      </c>
      <c r="V50" s="402">
        <v>620053637.69000006</v>
      </c>
      <c r="W50" s="402">
        <v>26227618.309999999</v>
      </c>
      <c r="X50" s="402">
        <v>616580741.63999999</v>
      </c>
      <c r="Y50" s="402">
        <v>276425775.49000001</v>
      </c>
      <c r="Z50" s="402">
        <v>276425775.49000001</v>
      </c>
      <c r="AA50" s="402">
        <v>276425775.49000001</v>
      </c>
      <c r="AB50" s="402">
        <f t="shared" si="0"/>
        <v>3472896.0500000715</v>
      </c>
    </row>
    <row r="51" spans="1:28" x14ac:dyDescent="0.3">
      <c r="A51" s="400" t="s">
        <v>205</v>
      </c>
      <c r="B51" s="286" t="s">
        <v>206</v>
      </c>
      <c r="C51" s="401" t="s">
        <v>278</v>
      </c>
      <c r="D51" s="400" t="s">
        <v>134</v>
      </c>
      <c r="E51" s="400" t="s">
        <v>45</v>
      </c>
      <c r="F51" s="400" t="s">
        <v>45</v>
      </c>
      <c r="G51" s="400" t="s">
        <v>45</v>
      </c>
      <c r="H51" s="400" t="s">
        <v>39</v>
      </c>
      <c r="I51" s="400" t="s">
        <v>53</v>
      </c>
      <c r="J51" s="400"/>
      <c r="K51" s="400"/>
      <c r="L51" s="400"/>
      <c r="M51" s="400" t="s">
        <v>208</v>
      </c>
      <c r="N51" s="400" t="s">
        <v>209</v>
      </c>
      <c r="O51" s="400" t="s">
        <v>210</v>
      </c>
      <c r="P51" s="286" t="s">
        <v>107</v>
      </c>
      <c r="Q51" s="402">
        <v>6496112920</v>
      </c>
      <c r="R51" s="402">
        <v>1360715081.03</v>
      </c>
      <c r="S51" s="402">
        <v>4605753832</v>
      </c>
      <c r="T51" s="402">
        <v>3251074169.0300002</v>
      </c>
      <c r="U51" s="402">
        <v>0</v>
      </c>
      <c r="V51" s="402">
        <v>2125054820.03</v>
      </c>
      <c r="W51" s="402">
        <v>1126019349</v>
      </c>
      <c r="X51" s="402">
        <v>2071052450.3399999</v>
      </c>
      <c r="Y51" s="402">
        <v>773876497.24000001</v>
      </c>
      <c r="Z51" s="402">
        <v>773876497.24000001</v>
      </c>
      <c r="AA51" s="402">
        <v>773876497.24000001</v>
      </c>
      <c r="AB51" s="402">
        <f t="shared" si="0"/>
        <v>54002369.690000057</v>
      </c>
    </row>
    <row r="52" spans="1:28" x14ac:dyDescent="0.3">
      <c r="A52" s="400" t="s">
        <v>205</v>
      </c>
      <c r="B52" s="286" t="s">
        <v>206</v>
      </c>
      <c r="C52" s="401" t="s">
        <v>279</v>
      </c>
      <c r="D52" s="400" t="s">
        <v>134</v>
      </c>
      <c r="E52" s="400" t="s">
        <v>45</v>
      </c>
      <c r="F52" s="400" t="s">
        <v>45</v>
      </c>
      <c r="G52" s="400" t="s">
        <v>45</v>
      </c>
      <c r="H52" s="400" t="s">
        <v>39</v>
      </c>
      <c r="I52" s="400" t="s">
        <v>37</v>
      </c>
      <c r="J52" s="400"/>
      <c r="K52" s="400"/>
      <c r="L52" s="400"/>
      <c r="M52" s="400" t="s">
        <v>208</v>
      </c>
      <c r="N52" s="400" t="s">
        <v>209</v>
      </c>
      <c r="O52" s="400" t="s">
        <v>210</v>
      </c>
      <c r="P52" s="286" t="s">
        <v>108</v>
      </c>
      <c r="Q52" s="402">
        <v>928200</v>
      </c>
      <c r="R52" s="402">
        <v>545496</v>
      </c>
      <c r="S52" s="402">
        <v>0</v>
      </c>
      <c r="T52" s="402">
        <v>1473696</v>
      </c>
      <c r="U52" s="402">
        <v>0</v>
      </c>
      <c r="V52" s="402">
        <v>1473696</v>
      </c>
      <c r="W52" s="402">
        <v>0</v>
      </c>
      <c r="X52" s="402">
        <v>0</v>
      </c>
      <c r="Y52" s="402">
        <v>0</v>
      </c>
      <c r="Z52" s="402">
        <v>0</v>
      </c>
      <c r="AA52" s="402">
        <v>0</v>
      </c>
      <c r="AB52" s="402">
        <f t="shared" si="0"/>
        <v>1473696</v>
      </c>
    </row>
    <row r="53" spans="1:28" x14ac:dyDescent="0.3">
      <c r="A53" s="400" t="s">
        <v>205</v>
      </c>
      <c r="B53" s="286" t="s">
        <v>206</v>
      </c>
      <c r="C53" s="401" t="s">
        <v>280</v>
      </c>
      <c r="D53" s="400" t="s">
        <v>134</v>
      </c>
      <c r="E53" s="400" t="s">
        <v>45</v>
      </c>
      <c r="F53" s="400" t="s">
        <v>45</v>
      </c>
      <c r="G53" s="400" t="s">
        <v>45</v>
      </c>
      <c r="H53" s="400" t="s">
        <v>39</v>
      </c>
      <c r="I53" s="400" t="s">
        <v>41</v>
      </c>
      <c r="J53" s="400"/>
      <c r="K53" s="400"/>
      <c r="L53" s="400"/>
      <c r="M53" s="400" t="s">
        <v>208</v>
      </c>
      <c r="N53" s="400" t="s">
        <v>209</v>
      </c>
      <c r="O53" s="400" t="s">
        <v>210</v>
      </c>
      <c r="P53" s="286" t="s">
        <v>109</v>
      </c>
      <c r="Q53" s="402">
        <v>2241100</v>
      </c>
      <c r="R53" s="402">
        <v>82000000</v>
      </c>
      <c r="S53" s="402">
        <v>44657000</v>
      </c>
      <c r="T53" s="402">
        <v>39584100</v>
      </c>
      <c r="U53" s="402">
        <v>0</v>
      </c>
      <c r="V53" s="402">
        <v>39584100</v>
      </c>
      <c r="W53" s="402">
        <v>0</v>
      </c>
      <c r="X53" s="402">
        <v>1852952.92</v>
      </c>
      <c r="Y53" s="402">
        <v>1852952.92</v>
      </c>
      <c r="Z53" s="402">
        <v>1852952.92</v>
      </c>
      <c r="AA53" s="402">
        <v>1852952.92</v>
      </c>
      <c r="AB53" s="402">
        <f t="shared" si="0"/>
        <v>37731147.079999998</v>
      </c>
    </row>
    <row r="54" spans="1:28" x14ac:dyDescent="0.3">
      <c r="A54" s="400" t="s">
        <v>205</v>
      </c>
      <c r="B54" s="286" t="s">
        <v>206</v>
      </c>
      <c r="C54" s="401" t="s">
        <v>281</v>
      </c>
      <c r="D54" s="400" t="s">
        <v>134</v>
      </c>
      <c r="E54" s="400" t="s">
        <v>45</v>
      </c>
      <c r="F54" s="400" t="s">
        <v>45</v>
      </c>
      <c r="G54" s="400" t="s">
        <v>45</v>
      </c>
      <c r="H54" s="400" t="s">
        <v>41</v>
      </c>
      <c r="I54" s="400" t="s">
        <v>48</v>
      </c>
      <c r="J54" s="400"/>
      <c r="K54" s="400"/>
      <c r="L54" s="400"/>
      <c r="M54" s="400" t="s">
        <v>208</v>
      </c>
      <c r="N54" s="400" t="s">
        <v>209</v>
      </c>
      <c r="O54" s="400" t="s">
        <v>210</v>
      </c>
      <c r="P54" s="286" t="s">
        <v>111</v>
      </c>
      <c r="Q54" s="402">
        <v>102229470</v>
      </c>
      <c r="R54" s="402">
        <v>0</v>
      </c>
      <c r="S54" s="402">
        <v>1000000</v>
      </c>
      <c r="T54" s="402">
        <v>101229470</v>
      </c>
      <c r="U54" s="402">
        <v>0</v>
      </c>
      <c r="V54" s="402">
        <v>101229470</v>
      </c>
      <c r="W54" s="402">
        <v>0</v>
      </c>
      <c r="X54" s="402">
        <v>37848950</v>
      </c>
      <c r="Y54" s="402">
        <v>26691051.949999999</v>
      </c>
      <c r="Z54" s="402">
        <v>26691051.949999999</v>
      </c>
      <c r="AA54" s="402">
        <v>26691051.949999999</v>
      </c>
      <c r="AB54" s="402">
        <f t="shared" si="0"/>
        <v>63380520</v>
      </c>
    </row>
    <row r="55" spans="1:28" x14ac:dyDescent="0.3">
      <c r="A55" s="400" t="s">
        <v>205</v>
      </c>
      <c r="B55" s="286" t="s">
        <v>206</v>
      </c>
      <c r="C55" s="401" t="s">
        <v>282</v>
      </c>
      <c r="D55" s="400" t="s">
        <v>134</v>
      </c>
      <c r="E55" s="400" t="s">
        <v>45</v>
      </c>
      <c r="F55" s="400" t="s">
        <v>45</v>
      </c>
      <c r="G55" s="400" t="s">
        <v>45</v>
      </c>
      <c r="H55" s="400" t="s">
        <v>41</v>
      </c>
      <c r="I55" s="400" t="s">
        <v>33</v>
      </c>
      <c r="J55" s="400"/>
      <c r="K55" s="400"/>
      <c r="L55" s="400"/>
      <c r="M55" s="400" t="s">
        <v>208</v>
      </c>
      <c r="N55" s="400" t="s">
        <v>209</v>
      </c>
      <c r="O55" s="400" t="s">
        <v>210</v>
      </c>
      <c r="P55" s="286" t="s">
        <v>112</v>
      </c>
      <c r="Q55" s="402">
        <v>13591056</v>
      </c>
      <c r="R55" s="402">
        <v>0</v>
      </c>
      <c r="S55" s="402">
        <v>0</v>
      </c>
      <c r="T55" s="402">
        <v>13591056</v>
      </c>
      <c r="U55" s="402">
        <v>0</v>
      </c>
      <c r="V55" s="402">
        <v>13591056</v>
      </c>
      <c r="W55" s="402">
        <v>0</v>
      </c>
      <c r="X55" s="402">
        <v>13591056</v>
      </c>
      <c r="Y55" s="402">
        <v>9974700</v>
      </c>
      <c r="Z55" s="402">
        <v>9974700</v>
      </c>
      <c r="AA55" s="402">
        <v>9974700</v>
      </c>
      <c r="AB55" s="402">
        <f t="shared" si="0"/>
        <v>0</v>
      </c>
    </row>
    <row r="56" spans="1:28" x14ac:dyDescent="0.3">
      <c r="A56" s="400" t="s">
        <v>205</v>
      </c>
      <c r="B56" s="286" t="s">
        <v>206</v>
      </c>
      <c r="C56" s="401" t="s">
        <v>283</v>
      </c>
      <c r="D56" s="400" t="s">
        <v>134</v>
      </c>
      <c r="E56" s="400" t="s">
        <v>45</v>
      </c>
      <c r="F56" s="400" t="s">
        <v>45</v>
      </c>
      <c r="G56" s="400" t="s">
        <v>45</v>
      </c>
      <c r="H56" s="400" t="s">
        <v>41</v>
      </c>
      <c r="I56" s="400" t="s">
        <v>51</v>
      </c>
      <c r="J56" s="400"/>
      <c r="K56" s="400"/>
      <c r="L56" s="400"/>
      <c r="M56" s="400" t="s">
        <v>208</v>
      </c>
      <c r="N56" s="400" t="s">
        <v>209</v>
      </c>
      <c r="O56" s="400" t="s">
        <v>210</v>
      </c>
      <c r="P56" s="286" t="s">
        <v>113</v>
      </c>
      <c r="Q56" s="402">
        <v>2057439</v>
      </c>
      <c r="R56" s="402">
        <v>0</v>
      </c>
      <c r="S56" s="402">
        <v>0</v>
      </c>
      <c r="T56" s="402">
        <v>2057439</v>
      </c>
      <c r="U56" s="402">
        <v>0</v>
      </c>
      <c r="V56" s="402">
        <v>2057439</v>
      </c>
      <c r="W56" s="402">
        <v>0</v>
      </c>
      <c r="X56" s="402">
        <v>1489650</v>
      </c>
      <c r="Y56" s="402">
        <v>1489650</v>
      </c>
      <c r="Z56" s="402">
        <v>1489650</v>
      </c>
      <c r="AA56" s="402">
        <v>1489650</v>
      </c>
      <c r="AB56" s="402">
        <f t="shared" si="0"/>
        <v>567789</v>
      </c>
    </row>
    <row r="57" spans="1:28" x14ac:dyDescent="0.3">
      <c r="A57" s="400" t="s">
        <v>205</v>
      </c>
      <c r="B57" s="286" t="s">
        <v>206</v>
      </c>
      <c r="C57" s="401" t="s">
        <v>284</v>
      </c>
      <c r="D57" s="400" t="s">
        <v>134</v>
      </c>
      <c r="E57" s="400" t="s">
        <v>45</v>
      </c>
      <c r="F57" s="400" t="s">
        <v>45</v>
      </c>
      <c r="G57" s="400" t="s">
        <v>45</v>
      </c>
      <c r="H57" s="400" t="s">
        <v>41</v>
      </c>
      <c r="I57" s="400" t="s">
        <v>35</v>
      </c>
      <c r="J57" s="400"/>
      <c r="K57" s="400"/>
      <c r="L57" s="400"/>
      <c r="M57" s="400" t="s">
        <v>208</v>
      </c>
      <c r="N57" s="400" t="s">
        <v>209</v>
      </c>
      <c r="O57" s="400" t="s">
        <v>210</v>
      </c>
      <c r="P57" s="286" t="s">
        <v>114</v>
      </c>
      <c r="Q57" s="402">
        <v>250000000</v>
      </c>
      <c r="R57" s="402">
        <v>0</v>
      </c>
      <c r="S57" s="402">
        <v>70000000</v>
      </c>
      <c r="T57" s="402">
        <v>180000000</v>
      </c>
      <c r="U57" s="402">
        <v>0</v>
      </c>
      <c r="V57" s="402">
        <v>180000000</v>
      </c>
      <c r="W57" s="402">
        <v>0</v>
      </c>
      <c r="X57" s="402">
        <v>180000000</v>
      </c>
      <c r="Y57" s="402">
        <v>55111049</v>
      </c>
      <c r="Z57" s="402">
        <v>55111049</v>
      </c>
      <c r="AA57" s="402">
        <v>55111049</v>
      </c>
      <c r="AB57" s="402">
        <f t="shared" si="0"/>
        <v>0</v>
      </c>
    </row>
    <row r="58" spans="1:28" x14ac:dyDescent="0.3">
      <c r="A58" s="400" t="s">
        <v>205</v>
      </c>
      <c r="B58" s="286" t="s">
        <v>206</v>
      </c>
      <c r="C58" s="401" t="s">
        <v>285</v>
      </c>
      <c r="D58" s="400" t="s">
        <v>134</v>
      </c>
      <c r="E58" s="400" t="s">
        <v>45</v>
      </c>
      <c r="F58" s="400" t="s">
        <v>45</v>
      </c>
      <c r="G58" s="400" t="s">
        <v>45</v>
      </c>
      <c r="H58" s="400" t="s">
        <v>43</v>
      </c>
      <c r="I58" s="400"/>
      <c r="J58" s="400"/>
      <c r="K58" s="400"/>
      <c r="L58" s="400"/>
      <c r="M58" s="400" t="s">
        <v>208</v>
      </c>
      <c r="N58" s="400" t="s">
        <v>209</v>
      </c>
      <c r="O58" s="400" t="s">
        <v>210</v>
      </c>
      <c r="P58" s="286" t="s">
        <v>115</v>
      </c>
      <c r="Q58" s="402">
        <v>300000000</v>
      </c>
      <c r="R58" s="402">
        <v>0</v>
      </c>
      <c r="S58" s="402">
        <v>0</v>
      </c>
      <c r="T58" s="402">
        <v>300000000</v>
      </c>
      <c r="U58" s="402">
        <v>0</v>
      </c>
      <c r="V58" s="402">
        <v>300000000</v>
      </c>
      <c r="W58" s="402">
        <v>0</v>
      </c>
      <c r="X58" s="402">
        <v>112123289</v>
      </c>
      <c r="Y58" s="402">
        <v>112123289</v>
      </c>
      <c r="Z58" s="402">
        <v>112123289</v>
      </c>
      <c r="AA58" s="402">
        <v>108789124</v>
      </c>
      <c r="AB58" s="402">
        <f t="shared" si="0"/>
        <v>187876711</v>
      </c>
    </row>
    <row r="59" spans="1:28" x14ac:dyDescent="0.3">
      <c r="A59" s="400" t="s">
        <v>205</v>
      </c>
      <c r="B59" s="286" t="s">
        <v>206</v>
      </c>
      <c r="C59" s="401" t="s">
        <v>286</v>
      </c>
      <c r="D59" s="400" t="s">
        <v>134</v>
      </c>
      <c r="E59" s="400" t="s">
        <v>57</v>
      </c>
      <c r="F59" s="400" t="s">
        <v>121</v>
      </c>
      <c r="G59" s="400" t="s">
        <v>45</v>
      </c>
      <c r="H59" s="400" t="s">
        <v>124</v>
      </c>
      <c r="I59" s="400" t="s">
        <v>30</v>
      </c>
      <c r="J59" s="400"/>
      <c r="K59" s="400"/>
      <c r="L59" s="400"/>
      <c r="M59" s="400" t="s">
        <v>208</v>
      </c>
      <c r="N59" s="400" t="s">
        <v>209</v>
      </c>
      <c r="O59" s="400" t="s">
        <v>210</v>
      </c>
      <c r="P59" s="286" t="s">
        <v>125</v>
      </c>
      <c r="Q59" s="402">
        <v>140300000</v>
      </c>
      <c r="R59" s="402">
        <v>0</v>
      </c>
      <c r="S59" s="402">
        <v>0</v>
      </c>
      <c r="T59" s="402">
        <v>140300000</v>
      </c>
      <c r="U59" s="402">
        <v>0</v>
      </c>
      <c r="V59" s="402">
        <v>140300000</v>
      </c>
      <c r="W59" s="402">
        <v>0</v>
      </c>
      <c r="X59" s="402">
        <v>53099943</v>
      </c>
      <c r="Y59" s="402">
        <v>27778401</v>
      </c>
      <c r="Z59" s="402">
        <v>27778401</v>
      </c>
      <c r="AA59" s="402">
        <v>27778401</v>
      </c>
      <c r="AB59" s="402">
        <f t="shared" si="0"/>
        <v>87200057</v>
      </c>
    </row>
    <row r="60" spans="1:28" x14ac:dyDescent="0.3">
      <c r="A60" s="400" t="s">
        <v>205</v>
      </c>
      <c r="B60" s="286" t="s">
        <v>206</v>
      </c>
      <c r="C60" s="401" t="s">
        <v>287</v>
      </c>
      <c r="D60" s="400" t="s">
        <v>134</v>
      </c>
      <c r="E60" s="400" t="s">
        <v>57</v>
      </c>
      <c r="F60" s="400" t="s">
        <v>121</v>
      </c>
      <c r="G60" s="400" t="s">
        <v>45</v>
      </c>
      <c r="H60" s="400" t="s">
        <v>124</v>
      </c>
      <c r="I60" s="400" t="s">
        <v>48</v>
      </c>
      <c r="J60" s="400"/>
      <c r="K60" s="400"/>
      <c r="L60" s="400"/>
      <c r="M60" s="400" t="s">
        <v>208</v>
      </c>
      <c r="N60" s="400" t="s">
        <v>209</v>
      </c>
      <c r="O60" s="400" t="s">
        <v>210</v>
      </c>
      <c r="P60" s="286" t="s">
        <v>126</v>
      </c>
      <c r="Q60" s="402">
        <v>122400000</v>
      </c>
      <c r="R60" s="402">
        <v>0</v>
      </c>
      <c r="S60" s="402">
        <v>0</v>
      </c>
      <c r="T60" s="402">
        <v>122400000</v>
      </c>
      <c r="U60" s="402">
        <v>0</v>
      </c>
      <c r="V60" s="402">
        <v>122400000</v>
      </c>
      <c r="W60" s="402">
        <v>0</v>
      </c>
      <c r="X60" s="402">
        <v>47309836</v>
      </c>
      <c r="Y60" s="402">
        <v>47309836</v>
      </c>
      <c r="Z60" s="402">
        <v>47309836</v>
      </c>
      <c r="AA60" s="402">
        <v>47309836</v>
      </c>
      <c r="AB60" s="402">
        <f t="shared" si="0"/>
        <v>75090164</v>
      </c>
    </row>
    <row r="61" spans="1:28" x14ac:dyDescent="0.3">
      <c r="A61" s="400" t="s">
        <v>205</v>
      </c>
      <c r="B61" s="286" t="s">
        <v>206</v>
      </c>
      <c r="C61" s="401" t="s">
        <v>288</v>
      </c>
      <c r="D61" s="400" t="s">
        <v>134</v>
      </c>
      <c r="E61" s="400" t="s">
        <v>57</v>
      </c>
      <c r="F61" s="400" t="s">
        <v>209</v>
      </c>
      <c r="G61" s="400" t="s">
        <v>45</v>
      </c>
      <c r="H61" s="400" t="s">
        <v>30</v>
      </c>
      <c r="I61" s="400"/>
      <c r="J61" s="400"/>
      <c r="K61" s="400"/>
      <c r="L61" s="400"/>
      <c r="M61" s="400" t="s">
        <v>208</v>
      </c>
      <c r="N61" s="400" t="s">
        <v>209</v>
      </c>
      <c r="O61" s="400" t="s">
        <v>210</v>
      </c>
      <c r="P61" s="286" t="s">
        <v>129</v>
      </c>
      <c r="Q61" s="402">
        <v>108800000</v>
      </c>
      <c r="R61" s="402">
        <v>33385330780</v>
      </c>
      <c r="S61" s="402">
        <v>16692665390.200001</v>
      </c>
      <c r="T61" s="402">
        <v>16801465389.799999</v>
      </c>
      <c r="U61" s="402">
        <v>0</v>
      </c>
      <c r="V61" s="402">
        <v>15428255003.799999</v>
      </c>
      <c r="W61" s="402">
        <v>1373210386</v>
      </c>
      <c r="X61" s="402">
        <v>11019298877.299999</v>
      </c>
      <c r="Y61" s="402">
        <v>11019298877.299999</v>
      </c>
      <c r="Z61" s="402">
        <v>11019298877.299999</v>
      </c>
      <c r="AA61" s="402">
        <v>11019298877.299999</v>
      </c>
      <c r="AB61" s="402">
        <f t="shared" si="0"/>
        <v>4408956126.5</v>
      </c>
    </row>
    <row r="62" spans="1:28" x14ac:dyDescent="0.3">
      <c r="A62" s="400" t="s">
        <v>205</v>
      </c>
      <c r="B62" s="286" t="s">
        <v>206</v>
      </c>
      <c r="C62" s="401" t="s">
        <v>289</v>
      </c>
      <c r="D62" s="400" t="s">
        <v>151</v>
      </c>
      <c r="E62" s="400" t="s">
        <v>136</v>
      </c>
      <c r="F62" s="400" t="s">
        <v>137</v>
      </c>
      <c r="G62" s="400" t="s">
        <v>226</v>
      </c>
      <c r="H62" s="400" t="s">
        <v>139</v>
      </c>
      <c r="I62" s="400" t="s">
        <v>172</v>
      </c>
      <c r="J62" s="400" t="s">
        <v>45</v>
      </c>
      <c r="K62" s="400"/>
      <c r="L62" s="400"/>
      <c r="M62" s="400" t="s">
        <v>208</v>
      </c>
      <c r="N62" s="400" t="s">
        <v>209</v>
      </c>
      <c r="O62" s="400" t="s">
        <v>210</v>
      </c>
      <c r="P62" s="286" t="s">
        <v>290</v>
      </c>
      <c r="Q62" s="402">
        <v>598579182</v>
      </c>
      <c r="R62" s="402">
        <v>0</v>
      </c>
      <c r="S62" s="402">
        <v>598579182</v>
      </c>
      <c r="T62" s="402">
        <v>0</v>
      </c>
      <c r="U62" s="402">
        <v>0</v>
      </c>
      <c r="V62" s="402">
        <v>0</v>
      </c>
      <c r="W62" s="402">
        <v>0</v>
      </c>
      <c r="X62" s="402">
        <v>0</v>
      </c>
      <c r="Y62" s="402">
        <v>0</v>
      </c>
      <c r="Z62" s="402">
        <v>0</v>
      </c>
      <c r="AA62" s="402">
        <v>0</v>
      </c>
      <c r="AB62" s="402">
        <f t="shared" si="0"/>
        <v>0</v>
      </c>
    </row>
    <row r="63" spans="1:28" x14ac:dyDescent="0.3">
      <c r="A63" s="400" t="s">
        <v>205</v>
      </c>
      <c r="B63" s="286" t="s">
        <v>206</v>
      </c>
      <c r="C63" s="401" t="s">
        <v>291</v>
      </c>
      <c r="D63" s="400" t="s">
        <v>151</v>
      </c>
      <c r="E63" s="400" t="s">
        <v>136</v>
      </c>
      <c r="F63" s="400" t="s">
        <v>137</v>
      </c>
      <c r="G63" s="400" t="s">
        <v>226</v>
      </c>
      <c r="H63" s="400" t="s">
        <v>139</v>
      </c>
      <c r="I63" s="400" t="s">
        <v>172</v>
      </c>
      <c r="J63" s="400" t="s">
        <v>292</v>
      </c>
      <c r="K63" s="400" t="s">
        <v>59</v>
      </c>
      <c r="L63" s="400" t="s">
        <v>59</v>
      </c>
      <c r="M63" s="400" t="s">
        <v>208</v>
      </c>
      <c r="N63" s="400" t="s">
        <v>209</v>
      </c>
      <c r="O63" s="400" t="s">
        <v>210</v>
      </c>
      <c r="P63" s="286" t="s">
        <v>143</v>
      </c>
      <c r="Q63" s="402">
        <v>598579182</v>
      </c>
      <c r="R63" s="402">
        <v>0</v>
      </c>
      <c r="S63" s="402">
        <v>93955882</v>
      </c>
      <c r="T63" s="402">
        <v>504623300</v>
      </c>
      <c r="U63" s="402">
        <v>0</v>
      </c>
      <c r="V63" s="402">
        <v>504623300</v>
      </c>
      <c r="W63" s="402">
        <v>0</v>
      </c>
      <c r="X63" s="402">
        <v>504623300</v>
      </c>
      <c r="Y63" s="402">
        <v>313773040</v>
      </c>
      <c r="Z63" s="402">
        <v>313773040</v>
      </c>
      <c r="AA63" s="402">
        <v>313773040</v>
      </c>
      <c r="AB63" s="402">
        <f t="shared" si="0"/>
        <v>0</v>
      </c>
    </row>
    <row r="64" spans="1:28" x14ac:dyDescent="0.3">
      <c r="A64" s="400" t="s">
        <v>205</v>
      </c>
      <c r="B64" s="286" t="s">
        <v>206</v>
      </c>
      <c r="C64" s="401" t="s">
        <v>293</v>
      </c>
      <c r="D64" s="400" t="s">
        <v>151</v>
      </c>
      <c r="E64" s="400" t="s">
        <v>136</v>
      </c>
      <c r="F64" s="400" t="s">
        <v>137</v>
      </c>
      <c r="G64" s="400" t="s">
        <v>226</v>
      </c>
      <c r="H64" s="400" t="s">
        <v>139</v>
      </c>
      <c r="I64" s="400" t="s">
        <v>170</v>
      </c>
      <c r="J64" s="400" t="s">
        <v>292</v>
      </c>
      <c r="K64" s="400" t="s">
        <v>59</v>
      </c>
      <c r="L64" s="400" t="s">
        <v>59</v>
      </c>
      <c r="M64" s="400" t="s">
        <v>208</v>
      </c>
      <c r="N64" s="400" t="s">
        <v>209</v>
      </c>
      <c r="O64" s="400" t="s">
        <v>210</v>
      </c>
      <c r="P64" s="286" t="s">
        <v>143</v>
      </c>
      <c r="Q64" s="402">
        <v>3713230542</v>
      </c>
      <c r="R64" s="402">
        <v>3807186424</v>
      </c>
      <c r="S64" s="402">
        <v>4311809724</v>
      </c>
      <c r="T64" s="402">
        <v>3208607242</v>
      </c>
      <c r="U64" s="402">
        <v>0</v>
      </c>
      <c r="V64" s="402">
        <v>3142080438</v>
      </c>
      <c r="W64" s="402">
        <v>66526804</v>
      </c>
      <c r="X64" s="402">
        <v>1486000000</v>
      </c>
      <c r="Y64" s="402">
        <v>211800000</v>
      </c>
      <c r="Z64" s="402">
        <v>211800000</v>
      </c>
      <c r="AA64" s="402">
        <v>211800000</v>
      </c>
      <c r="AB64" s="402">
        <f t="shared" si="0"/>
        <v>1656080438</v>
      </c>
    </row>
    <row r="65" spans="1:28" x14ac:dyDescent="0.3">
      <c r="A65" s="400" t="s">
        <v>205</v>
      </c>
      <c r="B65" s="286" t="s">
        <v>206</v>
      </c>
      <c r="C65" s="401" t="s">
        <v>294</v>
      </c>
      <c r="D65" s="400" t="s">
        <v>151</v>
      </c>
      <c r="E65" s="400" t="s">
        <v>136</v>
      </c>
      <c r="F65" s="400" t="s">
        <v>137</v>
      </c>
      <c r="G65" s="400" t="s">
        <v>226</v>
      </c>
      <c r="H65" s="400" t="s">
        <v>139</v>
      </c>
      <c r="I65" s="400" t="s">
        <v>173</v>
      </c>
      <c r="J65" s="400" t="s">
        <v>295</v>
      </c>
      <c r="K65" s="400" t="s">
        <v>59</v>
      </c>
      <c r="L65" s="400" t="s">
        <v>59</v>
      </c>
      <c r="M65" s="400" t="s">
        <v>208</v>
      </c>
      <c r="N65" s="400" t="s">
        <v>228</v>
      </c>
      <c r="O65" s="400" t="s">
        <v>210</v>
      </c>
      <c r="P65" s="286" t="s">
        <v>146</v>
      </c>
      <c r="Q65" s="402">
        <v>6805706683</v>
      </c>
      <c r="R65" s="402">
        <v>439454465</v>
      </c>
      <c r="S65" s="402">
        <v>0</v>
      </c>
      <c r="T65" s="402">
        <v>7245161148</v>
      </c>
      <c r="U65" s="402">
        <v>0</v>
      </c>
      <c r="V65" s="402">
        <v>7114947685</v>
      </c>
      <c r="W65" s="402">
        <v>130213463</v>
      </c>
      <c r="X65" s="402">
        <v>6378997685</v>
      </c>
      <c r="Y65" s="402">
        <v>1731633845</v>
      </c>
      <c r="Z65" s="402">
        <v>1731633845</v>
      </c>
      <c r="AA65" s="402">
        <v>1731633845</v>
      </c>
      <c r="AB65" s="402">
        <f t="shared" si="0"/>
        <v>735950000</v>
      </c>
    </row>
    <row r="66" spans="1:28" x14ac:dyDescent="0.3">
      <c r="A66" s="400" t="s">
        <v>205</v>
      </c>
      <c r="B66" s="286" t="s">
        <v>206</v>
      </c>
      <c r="C66" s="401" t="s">
        <v>296</v>
      </c>
      <c r="D66" s="400" t="s">
        <v>151</v>
      </c>
      <c r="E66" s="400" t="s">
        <v>136</v>
      </c>
      <c r="F66" s="400" t="s">
        <v>137</v>
      </c>
      <c r="G66" s="400" t="s">
        <v>226</v>
      </c>
      <c r="H66" s="400" t="s">
        <v>139</v>
      </c>
      <c r="I66" s="400" t="s">
        <v>172</v>
      </c>
      <c r="J66" s="400" t="s">
        <v>297</v>
      </c>
      <c r="K66" s="400" t="s">
        <v>59</v>
      </c>
      <c r="L66" s="400" t="s">
        <v>59</v>
      </c>
      <c r="M66" s="400" t="s">
        <v>208</v>
      </c>
      <c r="N66" s="400" t="s">
        <v>228</v>
      </c>
      <c r="O66" s="400" t="s">
        <v>210</v>
      </c>
      <c r="P66" s="286" t="s">
        <v>150</v>
      </c>
      <c r="Q66" s="402">
        <v>1747389775</v>
      </c>
      <c r="R66" s="402">
        <v>0</v>
      </c>
      <c r="S66" s="402">
        <v>439454465</v>
      </c>
      <c r="T66" s="402">
        <v>1307935310</v>
      </c>
      <c r="U66" s="402">
        <v>0</v>
      </c>
      <c r="V66" s="402">
        <v>1303801955</v>
      </c>
      <c r="W66" s="402">
        <v>4133355</v>
      </c>
      <c r="X66" s="402">
        <v>1290682291</v>
      </c>
      <c r="Y66" s="402">
        <v>625897950</v>
      </c>
      <c r="Z66" s="402">
        <v>625897950</v>
      </c>
      <c r="AA66" s="402">
        <v>625897950</v>
      </c>
      <c r="AB66" s="402">
        <f t="shared" si="0"/>
        <v>13119664</v>
      </c>
    </row>
    <row r="67" spans="1:28" x14ac:dyDescent="0.3">
      <c r="A67" s="400" t="s">
        <v>59</v>
      </c>
      <c r="B67" s="286" t="s">
        <v>59</v>
      </c>
      <c r="C67" s="401" t="s">
        <v>59</v>
      </c>
      <c r="D67" s="400" t="s">
        <v>59</v>
      </c>
      <c r="E67" s="400" t="s">
        <v>59</v>
      </c>
      <c r="F67" s="400" t="s">
        <v>59</v>
      </c>
      <c r="G67" s="400" t="s">
        <v>59</v>
      </c>
      <c r="H67" s="400" t="s">
        <v>59</v>
      </c>
      <c r="I67" s="400" t="s">
        <v>59</v>
      </c>
      <c r="J67" s="400" t="s">
        <v>59</v>
      </c>
      <c r="K67" s="400" t="s">
        <v>59</v>
      </c>
      <c r="L67" s="400" t="s">
        <v>59</v>
      </c>
      <c r="M67" s="400" t="s">
        <v>59</v>
      </c>
      <c r="N67" s="400" t="s">
        <v>59</v>
      </c>
      <c r="O67" s="400" t="s">
        <v>59</v>
      </c>
      <c r="P67" s="286" t="s">
        <v>59</v>
      </c>
      <c r="Q67" s="402">
        <v>91103785364</v>
      </c>
      <c r="R67" s="402">
        <v>48471961880.029999</v>
      </c>
      <c r="S67" s="402">
        <v>28082454854.23</v>
      </c>
      <c r="T67" s="402">
        <v>111493292389.8</v>
      </c>
      <c r="U67" s="402">
        <v>0</v>
      </c>
      <c r="V67" s="402">
        <v>105254077188.41</v>
      </c>
      <c r="W67" s="402">
        <v>6239215201.3900003</v>
      </c>
      <c r="X67" s="402">
        <v>70380376979.179993</v>
      </c>
      <c r="Y67" s="402">
        <v>57622040228.720001</v>
      </c>
      <c r="Z67" s="402">
        <v>57622040228.720001</v>
      </c>
      <c r="AA67" s="402">
        <v>57113660760.720001</v>
      </c>
      <c r="AB67" s="402">
        <f t="shared" si="0"/>
        <v>34873700209.230011</v>
      </c>
    </row>
    <row r="68" spans="1:28" x14ac:dyDescent="0.3">
      <c r="A68" s="400" t="s">
        <v>59</v>
      </c>
      <c r="B68" s="369" t="s">
        <v>59</v>
      </c>
      <c r="C68" s="401" t="s">
        <v>59</v>
      </c>
      <c r="D68" s="400" t="s">
        <v>59</v>
      </c>
      <c r="E68" s="400" t="s">
        <v>59</v>
      </c>
      <c r="F68" s="400" t="s">
        <v>59</v>
      </c>
      <c r="G68" s="400" t="s">
        <v>59</v>
      </c>
      <c r="H68" s="400" t="s">
        <v>59</v>
      </c>
      <c r="I68" s="400" t="s">
        <v>59</v>
      </c>
      <c r="J68" s="400" t="s">
        <v>59</v>
      </c>
      <c r="K68" s="400" t="s">
        <v>59</v>
      </c>
      <c r="L68" s="400" t="s">
        <v>59</v>
      </c>
      <c r="M68" s="400" t="s">
        <v>59</v>
      </c>
      <c r="N68" s="400" t="s">
        <v>59</v>
      </c>
      <c r="O68" s="400" t="s">
        <v>59</v>
      </c>
      <c r="P68" s="286" t="s">
        <v>59</v>
      </c>
      <c r="Q68" s="367" t="s">
        <v>59</v>
      </c>
      <c r="R68" s="367" t="s">
        <v>59</v>
      </c>
      <c r="S68" s="367" t="s">
        <v>59</v>
      </c>
      <c r="T68" s="367" t="s">
        <v>59</v>
      </c>
      <c r="U68" s="367" t="s">
        <v>59</v>
      </c>
      <c r="V68" s="367" t="s">
        <v>59</v>
      </c>
      <c r="W68" s="367" t="s">
        <v>59</v>
      </c>
      <c r="X68" s="367" t="s">
        <v>59</v>
      </c>
      <c r="Y68" s="367" t="s">
        <v>59</v>
      </c>
      <c r="Z68" s="367" t="s">
        <v>59</v>
      </c>
      <c r="AA68" s="367" t="s">
        <v>59</v>
      </c>
    </row>
    <row r="69" spans="1:28" ht="0" hidden="1" customHeight="1" x14ac:dyDescent="0.3"/>
    <row r="70" spans="1:28" ht="34.200000000000003" customHeight="1" x14ac:dyDescent="0.3"/>
  </sheetData>
  <autoFilter ref="A4:AC68" xr:uid="{D7B05AF8-A1C3-4706-929A-1786123A1DF2}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6"/>
  <sheetViews>
    <sheetView showGridLines="0" topLeftCell="A8" zoomScaleNormal="100" workbookViewId="0">
      <selection activeCell="F23" sqref="F23"/>
    </sheetView>
  </sheetViews>
  <sheetFormatPr baseColWidth="10" defaultColWidth="11.44140625" defaultRowHeight="13.8" x14ac:dyDescent="0.3"/>
  <cols>
    <col min="1" max="1" width="4.6640625" style="97" customWidth="1"/>
    <col min="2" max="2" width="53.3320312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9" width="16.33203125" style="97" bestFit="1" customWidth="1"/>
    <col min="10" max="10" width="18.5546875" style="97" customWidth="1"/>
    <col min="11" max="11" width="14.88671875" style="97" customWidth="1"/>
    <col min="12" max="12" width="14.6640625" style="97" customWidth="1"/>
    <col min="13" max="16384" width="11.44140625" style="97"/>
  </cols>
  <sheetData>
    <row r="1" spans="2:12" ht="14.4" thickBot="1" x14ac:dyDescent="0.35">
      <c r="B1" s="343" t="s">
        <v>361</v>
      </c>
      <c r="D1" s="342"/>
    </row>
    <row r="2" spans="2:12" ht="31.5" customHeight="1" thickBot="1" x14ac:dyDescent="0.35">
      <c r="B2" s="298" t="s">
        <v>160</v>
      </c>
      <c r="C2" s="299" t="s">
        <v>161</v>
      </c>
      <c r="D2" s="299" t="s">
        <v>162</v>
      </c>
      <c r="E2" s="299" t="s">
        <v>163</v>
      </c>
      <c r="F2" s="299" t="s">
        <v>22</v>
      </c>
      <c r="G2" s="299" t="s">
        <v>24</v>
      </c>
      <c r="H2" s="299" t="s">
        <v>298</v>
      </c>
      <c r="I2" s="300" t="s">
        <v>299</v>
      </c>
      <c r="J2" s="301" t="s">
        <v>178</v>
      </c>
    </row>
    <row r="3" spans="2:12" ht="14.4" thickBot="1" x14ac:dyDescent="0.35">
      <c r="B3" s="98" t="s">
        <v>26</v>
      </c>
      <c r="C3" s="99">
        <f>+'EJECUCION AGENCIA'!I9-8294500000</f>
        <v>58386800000</v>
      </c>
      <c r="D3" s="99">
        <f>+'EJECUCION AGENCIA'!J8</f>
        <v>33378120537.650002</v>
      </c>
      <c r="E3" s="99">
        <f>+'EJECUCION AGENCIA'!L8</f>
        <v>25008679462.349998</v>
      </c>
      <c r="F3" s="99">
        <f>+'EJECUCION AGENCIA'!N8</f>
        <v>33344571609.650002</v>
      </c>
      <c r="G3" s="99">
        <f>+'EJECUCION AGENCIA'!P8</f>
        <v>32839895430.650002</v>
      </c>
      <c r="H3" s="99">
        <f>+'EJECUCION AGENCIA'!M8</f>
        <v>0</v>
      </c>
      <c r="I3" s="100">
        <f t="shared" ref="I3:I14" si="0">+D3/C3</f>
        <v>0.57167237350993716</v>
      </c>
      <c r="J3" s="100">
        <f>+F3/C3</f>
        <v>0.57109777568988196</v>
      </c>
      <c r="K3" s="116"/>
    </row>
    <row r="4" spans="2:12" ht="25.5" customHeight="1" thickBot="1" x14ac:dyDescent="0.35">
      <c r="B4" s="98" t="s">
        <v>179</v>
      </c>
      <c r="C4" s="99">
        <f>+'EJECUCION AGENCIA'!I37+56000000</f>
        <v>23832000000</v>
      </c>
      <c r="D4" s="99">
        <f>+'EJECUCION AGENCIA'!J37</f>
        <v>16222244509.23</v>
      </c>
      <c r="E4" s="99">
        <f>+'EJECUCION AGENCIA'!L37</f>
        <v>2875696132.7599998</v>
      </c>
      <c r="F4" s="99">
        <f>+'EJECUCION AGENCIA'!N37</f>
        <v>10299976669.77</v>
      </c>
      <c r="G4" s="99">
        <f>+'EJECUCION AGENCIA'!P37</f>
        <v>10296273380.77</v>
      </c>
      <c r="H4" s="99">
        <f>+'EJECUCION AGENCIA'!M37+56000000</f>
        <v>6812098121.0100002</v>
      </c>
      <c r="I4" s="100">
        <f t="shared" si="0"/>
        <v>0.68069169642623362</v>
      </c>
      <c r="J4" s="100">
        <f t="shared" ref="J4:J9" si="1">+F4/C4</f>
        <v>0.43219103179632429</v>
      </c>
      <c r="K4" s="116"/>
    </row>
    <row r="5" spans="2:12" ht="14.4" thickBot="1" x14ac:dyDescent="0.35">
      <c r="B5" s="98" t="s">
        <v>180</v>
      </c>
      <c r="C5" s="99">
        <f>SUM(C6:C8)</f>
        <v>104679345544</v>
      </c>
      <c r="D5" s="99">
        <f t="shared" ref="D5:H5" si="2">SUM(D6:D8)</f>
        <v>53242960276.240005</v>
      </c>
      <c r="E5" s="99">
        <f t="shared" si="2"/>
        <v>17734075635.599998</v>
      </c>
      <c r="F5" s="99">
        <f t="shared" si="2"/>
        <v>30633348964.899998</v>
      </c>
      <c r="G5" s="99">
        <f t="shared" si="2"/>
        <v>30633348964.899998</v>
      </c>
      <c r="H5" s="99">
        <f t="shared" si="2"/>
        <v>33702309631.959999</v>
      </c>
      <c r="I5" s="100">
        <f t="shared" si="0"/>
        <v>0.50862909009934842</v>
      </c>
      <c r="J5" s="100">
        <f t="shared" si="1"/>
        <v>0.29263985942693771</v>
      </c>
      <c r="K5" s="370"/>
      <c r="L5" s="116">
        <f>+H4-'INF SECRETARÍA GRAL  (2)'!$H$4</f>
        <v>0</v>
      </c>
    </row>
    <row r="6" spans="2:12" ht="24.6" customHeight="1" thickBot="1" x14ac:dyDescent="0.35">
      <c r="B6" s="329" t="s">
        <v>119</v>
      </c>
      <c r="C6" s="330">
        <f>+'EJECUCION AGENCIA'!I86</f>
        <v>87615180154</v>
      </c>
      <c r="D6" s="330">
        <f>+'EJECUCION AGENCIA'!J86</f>
        <v>42123251619.940002</v>
      </c>
      <c r="E6" s="330">
        <f>+'EJECUCION AGENCIA'!L86</f>
        <v>13243616119.279999</v>
      </c>
      <c r="F6" s="330">
        <f>+'EJECUCION AGENCIA'!N86</f>
        <v>19538961850.599998</v>
      </c>
      <c r="G6" s="330">
        <f>+'EJECUCION AGENCIA'!P86</f>
        <v>19538961850.599998</v>
      </c>
      <c r="H6" s="330">
        <f>+'EJECUCION AGENCIA'!M86</f>
        <v>32248312414.779999</v>
      </c>
      <c r="I6" s="332">
        <f t="shared" si="0"/>
        <v>0.48077572340661218</v>
      </c>
      <c r="J6" s="332">
        <f t="shared" si="1"/>
        <v>0.22300886463118189</v>
      </c>
      <c r="K6" s="101"/>
      <c r="L6" s="116"/>
    </row>
    <row r="7" spans="2:12" ht="24.6" customHeight="1" thickBot="1" x14ac:dyDescent="0.35">
      <c r="B7" s="329" t="s">
        <v>123</v>
      </c>
      <c r="C7" s="330">
        <f>+'EJECUCION AGENCIA'!I88</f>
        <v>262700000</v>
      </c>
      <c r="D7" s="330">
        <f>+'EJECUCION AGENCIA'!J88</f>
        <v>100409779</v>
      </c>
      <c r="E7" s="330">
        <f>+'EJECUCION AGENCIA'!L88</f>
        <v>162290221</v>
      </c>
      <c r="F7" s="330">
        <f>+'EJECUCION AGENCIA'!N88</f>
        <v>75088237</v>
      </c>
      <c r="G7" s="330">
        <f>+'EJECUCION AGENCIA'!P88</f>
        <v>75088237</v>
      </c>
      <c r="H7" s="330">
        <f>+'EJECUCION AGENCIA'!M88</f>
        <v>0</v>
      </c>
      <c r="I7" s="332">
        <f t="shared" si="0"/>
        <v>0.38222222687476209</v>
      </c>
      <c r="J7" s="332">
        <f t="shared" si="1"/>
        <v>0.28583264940997333</v>
      </c>
      <c r="K7" s="101"/>
      <c r="L7" s="116"/>
    </row>
    <row r="8" spans="2:12" ht="24.6" customHeight="1" thickBot="1" x14ac:dyDescent="0.35">
      <c r="B8" s="329" t="s">
        <v>128</v>
      </c>
      <c r="C8" s="330">
        <f>+'EJECUCION AGENCIA'!I92</f>
        <v>16801465390</v>
      </c>
      <c r="D8" s="330">
        <f>+'EJECUCION AGENCIA'!J92</f>
        <v>11019298877.299999</v>
      </c>
      <c r="E8" s="340">
        <f>+'EJECUCION AGENCIA'!L92</f>
        <v>4328169295.3199997</v>
      </c>
      <c r="F8" s="330">
        <f>+'EJECUCION AGENCIA'!N92</f>
        <v>11019298877.299999</v>
      </c>
      <c r="G8" s="330">
        <f>+'EJECUCION AGENCIA'!P92</f>
        <v>11019298877.299999</v>
      </c>
      <c r="H8" s="330">
        <f>+'EJECUCION AGENCIA'!M92</f>
        <v>1453997217.1800001</v>
      </c>
      <c r="I8" s="332">
        <f t="shared" si="0"/>
        <v>0.6558534402516184</v>
      </c>
      <c r="J8" s="332">
        <f t="shared" si="1"/>
        <v>0.6558534402516184</v>
      </c>
      <c r="K8" s="101"/>
      <c r="L8" s="116"/>
    </row>
    <row r="9" spans="2:12" ht="33" customHeight="1" thickBot="1" x14ac:dyDescent="0.35">
      <c r="B9" s="98" t="s">
        <v>131</v>
      </c>
      <c r="C9" s="99">
        <f>+'EJECUCION AGENCIA'!I95</f>
        <v>299100000</v>
      </c>
      <c r="D9" s="99">
        <f>+'EJECUCION AGENCIA'!J96</f>
        <v>0</v>
      </c>
      <c r="E9" s="99">
        <f>+'EJECUCION AGENCIA'!L96</f>
        <v>0</v>
      </c>
      <c r="F9" s="99">
        <f>+'EJECUCION AGENCIA'!N95</f>
        <v>0</v>
      </c>
      <c r="G9" s="99">
        <f>+'EJECUCION AGENCIA'!P95</f>
        <v>0</v>
      </c>
      <c r="H9" s="99">
        <f>+'EJECUCION AGENCIA'!M95</f>
        <v>299100000</v>
      </c>
      <c r="I9" s="100">
        <f t="shared" si="0"/>
        <v>0</v>
      </c>
      <c r="J9" s="100">
        <f t="shared" si="1"/>
        <v>0</v>
      </c>
      <c r="K9" s="116"/>
    </row>
    <row r="10" spans="2:12" ht="30" customHeight="1" thickBot="1" x14ac:dyDescent="0.35">
      <c r="B10" s="290" t="s">
        <v>135</v>
      </c>
      <c r="C10" s="291">
        <f>+C3+C4+C5+C9</f>
        <v>187197245544</v>
      </c>
      <c r="D10" s="291">
        <f t="shared" ref="D10:H10" si="3">+D3+D4+D5+D9</f>
        <v>102843325323.12001</v>
      </c>
      <c r="E10" s="291">
        <f>+E3+E4+E5+E9</f>
        <v>45618451230.709991</v>
      </c>
      <c r="F10" s="291">
        <f t="shared" si="3"/>
        <v>74277897244.319992</v>
      </c>
      <c r="G10" s="291">
        <f t="shared" si="3"/>
        <v>73769517776.319992</v>
      </c>
      <c r="H10" s="291">
        <f t="shared" si="3"/>
        <v>40813507752.970001</v>
      </c>
      <c r="I10" s="292">
        <f t="shared" si="0"/>
        <v>0.54938482147135592</v>
      </c>
      <c r="J10" s="292">
        <f>+F10/C10</f>
        <v>0.39678947747583848</v>
      </c>
      <c r="K10" s="116"/>
      <c r="L10" s="101"/>
    </row>
    <row r="11" spans="2:12" ht="65.25" customHeight="1" thickBot="1" x14ac:dyDescent="0.35">
      <c r="B11" s="102" t="str">
        <f>+'[1]SEG.PTAL-DR '!H26</f>
        <v>IMPLEMENTACION DEL PROGRAMA DE FORTALECIMIENTO DE LA AGENCIA DE DEFENSA JURIDICA A NIVEL NACIONAL</v>
      </c>
      <c r="C11" s="99">
        <f>+'EJECUCION AGENCIA'!I101+'EJECUCION AGENCIA'!I104</f>
        <v>3713230542</v>
      </c>
      <c r="D11" s="99">
        <f>+'EJECUCION AGENCIA'!J101+'EJECUCION AGENCIA'!J104</f>
        <v>1990623300</v>
      </c>
      <c r="E11" s="99">
        <f>+'EJECUCION AGENCIA'!L101+'EJECUCION AGENCIA'!L104</f>
        <v>1656080438</v>
      </c>
      <c r="F11" s="99">
        <f>+'SEG.PTAL-DR '!L28+'SEG.PTAL-DR '!L29</f>
        <v>525573040</v>
      </c>
      <c r="G11" s="99">
        <f>+'SEG.PTAL-DR '!M28+'SEG.PTAL-DR '!M29</f>
        <v>525573040</v>
      </c>
      <c r="H11" s="99">
        <f>+'EJECUCION AGENCIA'!M101+'EJECUCION AGENCIA'!M104</f>
        <v>66526804</v>
      </c>
      <c r="I11" s="100">
        <f t="shared" si="0"/>
        <v>0.53608933716456542</v>
      </c>
      <c r="J11" s="100">
        <f>+F11/C11</f>
        <v>0.14154064339805811</v>
      </c>
      <c r="K11" s="116"/>
    </row>
    <row r="12" spans="2:12" ht="65.25" customHeight="1" thickBot="1" x14ac:dyDescent="0.35">
      <c r="B12" s="102" t="str">
        <f>+'[1]SEG.PTAL-DR '!H27</f>
        <v>FORTALECIMIENTO DE LAS CAPACIDADES DE LA ANDJE PARA MEJORAR LA EFICIENCIA DE LAS ENTIDADES DEL NIVEL NACIONAL QUE HACEN PARTE DEL SISTEMA DE DEFENSA JURIDICA.</v>
      </c>
      <c r="C12" s="99">
        <f>+'EJECUCION AGENCIA'!I107+'EJECUCION AGENCIA'!I110</f>
        <v>8553096458</v>
      </c>
      <c r="D12" s="99">
        <f>'EJECUCION AGENCIA'!J107+'EJECUCION AGENCIA'!J110</f>
        <v>7669679976</v>
      </c>
      <c r="E12" s="338">
        <f>+'EJECUCION AGENCIA'!L107+'EJECUCION AGENCIA'!L110</f>
        <v>749069664</v>
      </c>
      <c r="F12" s="99">
        <f>+'SEG.PTAL-DR '!L30+'SEG.PTAL-DR '!L31</f>
        <v>2357531795</v>
      </c>
      <c r="G12" s="99">
        <f>+'SEG.PTAL-DR '!M30+'SEG.PTAL-DR '!M31</f>
        <v>2357531795</v>
      </c>
      <c r="H12" s="99">
        <f>+'EJECUCION AGENCIA'!M107+'EJECUCION AGENCIA'!M110</f>
        <v>134346818</v>
      </c>
      <c r="I12" s="100">
        <f t="shared" si="0"/>
        <v>0.896713840848397</v>
      </c>
      <c r="J12" s="100">
        <f>+F12/C12</f>
        <v>0.27563488925638396</v>
      </c>
      <c r="K12" s="116"/>
    </row>
    <row r="13" spans="2:12" ht="23.4" customHeight="1" thickBot="1" x14ac:dyDescent="0.35">
      <c r="B13" s="290" t="s">
        <v>156</v>
      </c>
      <c r="C13" s="291">
        <f t="shared" ref="C13:H13" si="4">SUM(C11:C12)</f>
        <v>12266327000</v>
      </c>
      <c r="D13" s="291">
        <f t="shared" si="4"/>
        <v>9660303276</v>
      </c>
      <c r="E13" s="291">
        <f t="shared" si="4"/>
        <v>2405150102</v>
      </c>
      <c r="F13" s="291">
        <f t="shared" si="4"/>
        <v>2883104835</v>
      </c>
      <c r="G13" s="291">
        <f t="shared" si="4"/>
        <v>2883104835</v>
      </c>
      <c r="H13" s="291">
        <f t="shared" si="4"/>
        <v>200873622</v>
      </c>
      <c r="I13" s="292">
        <f t="shared" si="0"/>
        <v>0.78754653092160354</v>
      </c>
      <c r="J13" s="292">
        <f>+F13/C13</f>
        <v>0.2350422286149717</v>
      </c>
      <c r="K13" s="116"/>
    </row>
    <row r="14" spans="2:12" ht="42" customHeight="1" thickBot="1" x14ac:dyDescent="0.35">
      <c r="B14" s="293" t="s">
        <v>300</v>
      </c>
      <c r="C14" s="294">
        <f>+C10+C13</f>
        <v>199463572544</v>
      </c>
      <c r="D14" s="294">
        <f>+D10+D13</f>
        <v>112503628599.12001</v>
      </c>
      <c r="E14" s="294">
        <f t="shared" ref="E14:H14" si="5">+E10+E13</f>
        <v>48023601332.709991</v>
      </c>
      <c r="F14" s="294">
        <f t="shared" si="5"/>
        <v>77161002079.319992</v>
      </c>
      <c r="G14" s="294">
        <f t="shared" si="5"/>
        <v>76652622611.319992</v>
      </c>
      <c r="H14" s="294">
        <f t="shared" si="5"/>
        <v>41014381374.970001</v>
      </c>
      <c r="I14" s="110">
        <f t="shared" si="0"/>
        <v>0.56403095143752446</v>
      </c>
      <c r="J14" s="284">
        <f>+F14/C14</f>
        <v>0.38684257528927452</v>
      </c>
      <c r="K14" s="116"/>
    </row>
    <row r="15" spans="2:12" ht="34.950000000000003" customHeight="1" thickBot="1" x14ac:dyDescent="0.35">
      <c r="B15" s="102" t="s">
        <v>181</v>
      </c>
      <c r="C15" s="99">
        <v>8294500000</v>
      </c>
      <c r="D15" s="99"/>
      <c r="E15" s="99"/>
      <c r="F15" s="99"/>
      <c r="G15" s="99"/>
      <c r="H15" s="99"/>
      <c r="I15" s="100"/>
      <c r="J15" s="100"/>
      <c r="K15" s="103"/>
    </row>
    <row r="16" spans="2:12" ht="25.95" customHeight="1" thickBot="1" x14ac:dyDescent="0.35">
      <c r="B16" s="296" t="s">
        <v>182</v>
      </c>
      <c r="C16" s="297">
        <f>+C14+C15</f>
        <v>207758072544</v>
      </c>
      <c r="D16" s="297">
        <f>+D14</f>
        <v>112503628599.12001</v>
      </c>
      <c r="E16" s="297">
        <f>+E14</f>
        <v>48023601332.709991</v>
      </c>
      <c r="F16" s="297">
        <f>+F14</f>
        <v>77161002079.319992</v>
      </c>
      <c r="G16" s="297">
        <f>+G14</f>
        <v>76652622611.319992</v>
      </c>
      <c r="H16" s="297">
        <f>+H14</f>
        <v>41014381374.970001</v>
      </c>
      <c r="I16" s="110">
        <f>+D16/C16</f>
        <v>0.54151267010476067</v>
      </c>
      <c r="J16" s="284">
        <f>+F16/C16</f>
        <v>0.37139833429566721</v>
      </c>
      <c r="K16" s="339"/>
    </row>
    <row r="17" spans="3:8" x14ac:dyDescent="0.3">
      <c r="C17" s="116"/>
    </row>
    <row r="18" spans="3:8" x14ac:dyDescent="0.3">
      <c r="D18" s="97" t="s">
        <v>2</v>
      </c>
      <c r="H18" s="116"/>
    </row>
    <row r="19" spans="3:8" x14ac:dyDescent="0.3">
      <c r="C19" s="116"/>
      <c r="D19" s="265"/>
    </row>
    <row r="20" spans="3:8" x14ac:dyDescent="0.3">
      <c r="D20" s="265"/>
      <c r="E20" s="116"/>
      <c r="F20" s="116"/>
    </row>
    <row r="21" spans="3:8" x14ac:dyDescent="0.3">
      <c r="C21" s="116"/>
      <c r="D21" s="265"/>
      <c r="E21" s="116"/>
    </row>
    <row r="22" spans="3:8" x14ac:dyDescent="0.3">
      <c r="D22" s="266"/>
      <c r="G22" s="116"/>
    </row>
    <row r="24" spans="3:8" x14ac:dyDescent="0.3">
      <c r="D24" s="267"/>
    </row>
    <row r="26" spans="3:8" x14ac:dyDescent="0.3">
      <c r="D26" s="1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 Versión 002.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2ED-1FA8-4F7A-88EA-FAD1EEA97E9B}">
  <dimension ref="A2:L69"/>
  <sheetViews>
    <sheetView showGridLines="0" workbookViewId="0">
      <selection activeCell="F8" sqref="F8"/>
    </sheetView>
  </sheetViews>
  <sheetFormatPr baseColWidth="10" defaultColWidth="11.44140625" defaultRowHeight="14.4" x14ac:dyDescent="0.3"/>
  <cols>
    <col min="1" max="1" width="17.5546875" bestFit="1" customWidth="1"/>
    <col min="2" max="2" width="76.6640625" customWidth="1"/>
    <col min="3" max="3" width="26.6640625" style="313" customWidth="1"/>
    <col min="4" max="4" width="21.44140625" style="313" customWidth="1"/>
    <col min="5" max="5" width="23.88671875" style="319" customWidth="1"/>
    <col min="6" max="6" width="30.6640625" customWidth="1"/>
    <col min="7" max="7" width="17.6640625" customWidth="1"/>
    <col min="8" max="8" width="6" customWidth="1"/>
    <col min="9" max="9" width="20.5546875" customWidth="1"/>
    <col min="10" max="10" width="17.44140625" customWidth="1"/>
    <col min="11" max="11" width="13.6640625" bestFit="1" customWidth="1"/>
    <col min="12" max="12" width="15.6640625" customWidth="1"/>
  </cols>
  <sheetData>
    <row r="2" spans="1:12" x14ac:dyDescent="0.3">
      <c r="I2" s="373" t="s">
        <v>266</v>
      </c>
      <c r="J2" s="373" t="s">
        <v>301</v>
      </c>
      <c r="K2" s="360">
        <v>73490864.799999997</v>
      </c>
    </row>
    <row r="3" spans="1:12" ht="18" x14ac:dyDescent="0.35">
      <c r="B3" s="333" t="s">
        <v>302</v>
      </c>
      <c r="C3" s="310" t="s">
        <v>303</v>
      </c>
      <c r="D3" s="310" t="s">
        <v>304</v>
      </c>
      <c r="E3" s="310" t="s">
        <v>303</v>
      </c>
      <c r="F3" s="310" t="s">
        <v>305</v>
      </c>
      <c r="I3" s="319"/>
    </row>
    <row r="4" spans="1:12" x14ac:dyDescent="0.3">
      <c r="A4" s="306" t="s">
        <v>275</v>
      </c>
      <c r="B4" s="303" t="s">
        <v>104</v>
      </c>
      <c r="C4" s="348">
        <v>0.27</v>
      </c>
      <c r="D4" s="371"/>
      <c r="E4" s="371">
        <f>+C4-D4</f>
        <v>0.27</v>
      </c>
      <c r="F4" s="371">
        <f>+L8</f>
        <v>77831330</v>
      </c>
      <c r="G4" s="341">
        <f>+F4/J6</f>
        <v>5</v>
      </c>
      <c r="H4" s="341"/>
    </row>
    <row r="5" spans="1:12" x14ac:dyDescent="0.3">
      <c r="A5" s="306" t="s">
        <v>274</v>
      </c>
      <c r="B5" s="303" t="s">
        <v>102</v>
      </c>
      <c r="C5" s="348">
        <v>0.16</v>
      </c>
      <c r="D5" s="371"/>
      <c r="E5" s="371">
        <f t="shared" ref="E5:E12" si="0">+C5-D5</f>
        <v>0.16</v>
      </c>
      <c r="F5" s="371">
        <f>13714262+4031315.47</f>
        <v>17745577.469999999</v>
      </c>
      <c r="J5" t="s">
        <v>306</v>
      </c>
    </row>
    <row r="6" spans="1:12" x14ac:dyDescent="0.3">
      <c r="A6" s="306" t="s">
        <v>262</v>
      </c>
      <c r="B6" s="303" t="s">
        <v>87</v>
      </c>
      <c r="C6" s="348">
        <v>0.5</v>
      </c>
      <c r="D6" s="371"/>
      <c r="E6" s="371">
        <f t="shared" si="0"/>
        <v>0.5</v>
      </c>
      <c r="F6" s="371"/>
      <c r="G6" t="s">
        <v>307</v>
      </c>
      <c r="I6" s="319">
        <v>84576712</v>
      </c>
      <c r="J6" s="319">
        <v>15566266</v>
      </c>
      <c r="K6" s="359">
        <v>62265064</v>
      </c>
      <c r="L6" s="360">
        <f>+J6*5</f>
        <v>77831330</v>
      </c>
    </row>
    <row r="7" spans="1:12" x14ac:dyDescent="0.3">
      <c r="A7" s="306" t="s">
        <v>281</v>
      </c>
      <c r="B7" s="303" t="s">
        <v>111</v>
      </c>
      <c r="C7" s="358">
        <v>1000000</v>
      </c>
      <c r="D7" s="372"/>
      <c r="E7" s="374">
        <f t="shared" si="0"/>
        <v>1000000</v>
      </c>
      <c r="F7" s="371"/>
      <c r="G7" t="s">
        <v>308</v>
      </c>
      <c r="I7" s="319">
        <v>43435000</v>
      </c>
      <c r="J7" s="319">
        <v>17850000</v>
      </c>
      <c r="K7" s="321">
        <f>+I6-K6</f>
        <v>22311648</v>
      </c>
      <c r="L7" s="360"/>
    </row>
    <row r="8" spans="1:12" x14ac:dyDescent="0.3">
      <c r="A8" s="306" t="s">
        <v>276</v>
      </c>
      <c r="B8" s="303" t="s">
        <v>105</v>
      </c>
      <c r="C8" s="358">
        <f>21025227.33+80000000+81600000</f>
        <v>182625227.32999998</v>
      </c>
      <c r="D8" s="372">
        <v>109646946</v>
      </c>
      <c r="E8" s="371">
        <f t="shared" si="0"/>
        <v>72978281.329999983</v>
      </c>
      <c r="F8" s="371"/>
      <c r="I8" s="355">
        <f>17850000*2</f>
        <v>35700000</v>
      </c>
      <c r="J8" s="355"/>
      <c r="L8" s="360">
        <f>+L6+L7</f>
        <v>77831330</v>
      </c>
    </row>
    <row r="9" spans="1:12" x14ac:dyDescent="0.3">
      <c r="A9" s="306" t="s">
        <v>280</v>
      </c>
      <c r="B9" s="303" t="s">
        <v>109</v>
      </c>
      <c r="C9" s="358">
        <v>40000000</v>
      </c>
      <c r="D9" s="372"/>
      <c r="E9" s="374">
        <f t="shared" si="0"/>
        <v>40000000</v>
      </c>
      <c r="F9" s="371"/>
      <c r="I9" s="319"/>
      <c r="J9" s="319"/>
    </row>
    <row r="10" spans="1:12" x14ac:dyDescent="0.3">
      <c r="A10" s="306" t="s">
        <v>269</v>
      </c>
      <c r="B10" s="303" t="s">
        <v>96</v>
      </c>
      <c r="C10" s="358">
        <v>10493498.09</v>
      </c>
      <c r="D10" s="372"/>
      <c r="E10" s="374">
        <f t="shared" si="0"/>
        <v>10493498.09</v>
      </c>
      <c r="F10" s="371"/>
      <c r="G10" s="356"/>
      <c r="H10" s="356"/>
      <c r="I10" s="357"/>
      <c r="J10" s="357"/>
    </row>
    <row r="11" spans="1:12" x14ac:dyDescent="0.3">
      <c r="A11" s="306" t="s">
        <v>277</v>
      </c>
      <c r="B11" s="303" t="s">
        <v>106</v>
      </c>
      <c r="C11" s="358">
        <f>21794324.14+29646946</f>
        <v>51441270.140000001</v>
      </c>
      <c r="D11" s="372"/>
      <c r="E11" s="374">
        <f t="shared" si="0"/>
        <v>51441270.140000001</v>
      </c>
      <c r="F11" s="371">
        <v>73490864.799999997</v>
      </c>
    </row>
    <row r="12" spans="1:12" x14ac:dyDescent="0.3">
      <c r="A12" s="306" t="s">
        <v>266</v>
      </c>
      <c r="B12" s="303" t="s">
        <v>92</v>
      </c>
      <c r="C12" s="358">
        <v>18770100</v>
      </c>
      <c r="D12" s="372">
        <v>287650</v>
      </c>
      <c r="E12" s="371">
        <f t="shared" si="0"/>
        <v>18482450</v>
      </c>
      <c r="F12" s="371">
        <f>+L17</f>
        <v>6294473.812685417</v>
      </c>
      <c r="I12" s="361" t="s">
        <v>257</v>
      </c>
      <c r="J12" s="362">
        <v>4890813.8493654169</v>
      </c>
      <c r="L12" s="362">
        <f>+J12-K12</f>
        <v>4890813.8493654169</v>
      </c>
    </row>
    <row r="13" spans="1:12" ht="29.4" customHeight="1" x14ac:dyDescent="0.3">
      <c r="B13" s="304" t="s">
        <v>309</v>
      </c>
      <c r="C13" s="354">
        <f>+SUM(C4:C12)</f>
        <v>304330096.49000001</v>
      </c>
      <c r="D13" s="354">
        <f>+SUM(D4:D12)</f>
        <v>109934596</v>
      </c>
      <c r="E13" s="354">
        <f>+SUM(E4:E12)</f>
        <v>194395500.49000001</v>
      </c>
      <c r="F13" s="354">
        <f>+SUM(F4:F12)</f>
        <v>175362246.08268541</v>
      </c>
      <c r="G13" s="341">
        <f>+F13+L17</f>
        <v>181656719.89537084</v>
      </c>
      <c r="H13" s="341"/>
      <c r="I13" s="361" t="s">
        <v>262</v>
      </c>
      <c r="J13" s="362">
        <v>1256794.6292666665</v>
      </c>
      <c r="L13" s="362">
        <f t="shared" ref="L13:L16" si="1">+J13-K13</f>
        <v>1256794.6292666665</v>
      </c>
    </row>
    <row r="14" spans="1:12" x14ac:dyDescent="0.3">
      <c r="C14" s="319"/>
      <c r="D14" s="319"/>
      <c r="F14" s="341"/>
      <c r="H14" s="319"/>
      <c r="I14" s="361" t="s">
        <v>264</v>
      </c>
      <c r="J14" s="362">
        <v>18677.04</v>
      </c>
      <c r="K14">
        <v>113724</v>
      </c>
      <c r="L14" s="362">
        <f t="shared" si="1"/>
        <v>-95046.959999999992</v>
      </c>
    </row>
    <row r="15" spans="1:12" x14ac:dyDescent="0.3">
      <c r="C15" s="319"/>
      <c r="D15" s="319"/>
      <c r="I15" s="361" t="s">
        <v>265</v>
      </c>
      <c r="J15" s="362">
        <v>274805.33405333338</v>
      </c>
      <c r="K15">
        <v>127940</v>
      </c>
      <c r="L15" s="362">
        <f t="shared" si="1"/>
        <v>146865.33405333338</v>
      </c>
    </row>
    <row r="16" spans="1:12" x14ac:dyDescent="0.3">
      <c r="I16" s="361" t="s">
        <v>266</v>
      </c>
      <c r="J16" s="362">
        <v>287650.00109999999</v>
      </c>
      <c r="L16" s="362">
        <f t="shared" si="1"/>
        <v>287650.00109999999</v>
      </c>
    </row>
    <row r="17" spans="2:12" x14ac:dyDescent="0.3">
      <c r="I17" s="363" t="s">
        <v>310</v>
      </c>
      <c r="J17" s="364">
        <v>6728740.8537854161</v>
      </c>
      <c r="L17" s="364">
        <f>+L12+L13+L15</f>
        <v>6294473.812685417</v>
      </c>
    </row>
    <row r="18" spans="2:12" ht="18" x14ac:dyDescent="0.35">
      <c r="B18" s="308" t="s">
        <v>311</v>
      </c>
      <c r="C18" s="309">
        <v>9623373149.6599998</v>
      </c>
      <c r="D18" s="310" t="s">
        <v>312</v>
      </c>
      <c r="E18" s="347" t="s">
        <v>303</v>
      </c>
    </row>
    <row r="19" spans="2:12" x14ac:dyDescent="0.3">
      <c r="B19" s="305" t="s">
        <v>313</v>
      </c>
      <c r="C19" s="311">
        <v>5349680151.6000004</v>
      </c>
      <c r="D19" s="311">
        <f>-108749999+15500000-204734000+21175639.73</f>
        <v>-276808359.26999998</v>
      </c>
      <c r="E19" s="348">
        <f>+C19+D19</f>
        <v>5072871792.3299999</v>
      </c>
      <c r="F19" s="319"/>
    </row>
    <row r="20" spans="2:12" x14ac:dyDescent="0.3">
      <c r="B20" s="305" t="s">
        <v>314</v>
      </c>
      <c r="C20" s="315"/>
      <c r="D20" s="315">
        <v>203419440</v>
      </c>
      <c r="E20" s="348">
        <f>+D20</f>
        <v>203419440</v>
      </c>
    </row>
    <row r="21" spans="2:12" x14ac:dyDescent="0.3">
      <c r="B21" s="305" t="s">
        <v>315</v>
      </c>
      <c r="C21" s="315"/>
      <c r="D21" s="315">
        <v>204733998</v>
      </c>
      <c r="E21" s="348">
        <f t="shared" ref="E21:E34" si="2">+D21</f>
        <v>204733998</v>
      </c>
    </row>
    <row r="22" spans="2:12" x14ac:dyDescent="0.3">
      <c r="B22" s="305" t="s">
        <v>316</v>
      </c>
      <c r="C22" s="315"/>
      <c r="D22" s="315">
        <v>420000</v>
      </c>
      <c r="E22" s="348">
        <f t="shared" si="2"/>
        <v>420000</v>
      </c>
    </row>
    <row r="23" spans="2:12" x14ac:dyDescent="0.3">
      <c r="B23" s="305" t="s">
        <v>317</v>
      </c>
      <c r="C23" s="315"/>
      <c r="D23" s="315">
        <v>13564755</v>
      </c>
      <c r="E23" s="348">
        <f t="shared" si="2"/>
        <v>13564755</v>
      </c>
    </row>
    <row r="24" spans="2:12" x14ac:dyDescent="0.3">
      <c r="B24" s="305" t="s">
        <v>318</v>
      </c>
      <c r="C24" s="315"/>
      <c r="D24" s="315">
        <v>2329801</v>
      </c>
      <c r="E24" s="348">
        <f t="shared" si="2"/>
        <v>2329801</v>
      </c>
    </row>
    <row r="25" spans="2:12" x14ac:dyDescent="0.3">
      <c r="B25" s="305" t="s">
        <v>319</v>
      </c>
      <c r="C25" s="315"/>
      <c r="D25" s="315">
        <v>345000</v>
      </c>
      <c r="E25" s="348">
        <f t="shared" si="2"/>
        <v>345000</v>
      </c>
    </row>
    <row r="26" spans="2:12" x14ac:dyDescent="0.3">
      <c r="B26" s="305" t="s">
        <v>320</v>
      </c>
      <c r="C26" s="315"/>
      <c r="D26" s="315">
        <v>310796000</v>
      </c>
      <c r="E26" s="348">
        <f t="shared" si="2"/>
        <v>310796000</v>
      </c>
    </row>
    <row r="27" spans="2:12" x14ac:dyDescent="0.3">
      <c r="B27" s="305" t="s">
        <v>321</v>
      </c>
      <c r="C27" s="315"/>
      <c r="D27" s="315">
        <v>287385000</v>
      </c>
      <c r="E27" s="348">
        <f t="shared" si="2"/>
        <v>287385000</v>
      </c>
    </row>
    <row r="28" spans="2:12" x14ac:dyDescent="0.3">
      <c r="B28" s="305" t="s">
        <v>322</v>
      </c>
      <c r="C28" s="315"/>
      <c r="D28" s="315">
        <v>200000000</v>
      </c>
      <c r="E28" s="348">
        <f t="shared" si="2"/>
        <v>200000000</v>
      </c>
    </row>
    <row r="29" spans="2:12" x14ac:dyDescent="0.3">
      <c r="B29" s="305" t="s">
        <v>323</v>
      </c>
      <c r="C29" s="315"/>
      <c r="D29" s="315">
        <v>-1533431750</v>
      </c>
      <c r="E29" s="348">
        <f t="shared" si="2"/>
        <v>-1533431750</v>
      </c>
    </row>
    <row r="30" spans="2:12" x14ac:dyDescent="0.3">
      <c r="B30" s="305" t="s">
        <v>324</v>
      </c>
      <c r="C30" s="315"/>
      <c r="D30" s="315">
        <v>-3207591450</v>
      </c>
      <c r="E30" s="348">
        <f t="shared" si="2"/>
        <v>-3207591450</v>
      </c>
    </row>
    <row r="31" spans="2:12" x14ac:dyDescent="0.3">
      <c r="B31" s="305" t="s">
        <v>325</v>
      </c>
      <c r="C31" s="315"/>
      <c r="D31" s="315">
        <v>-880000000</v>
      </c>
      <c r="E31" s="348">
        <f t="shared" si="2"/>
        <v>-880000000</v>
      </c>
    </row>
    <row r="32" spans="2:12" x14ac:dyDescent="0.3">
      <c r="B32" s="305" t="s">
        <v>326</v>
      </c>
      <c r="C32" s="315"/>
      <c r="D32" s="315">
        <v>317604000</v>
      </c>
      <c r="E32" s="348">
        <f t="shared" si="2"/>
        <v>317604000</v>
      </c>
      <c r="F32" s="319"/>
    </row>
    <row r="33" spans="2:6" x14ac:dyDescent="0.3">
      <c r="B33" s="305" t="s">
        <v>327</v>
      </c>
      <c r="C33" s="315"/>
      <c r="D33" s="315">
        <v>22933333</v>
      </c>
      <c r="E33" s="348">
        <f t="shared" si="2"/>
        <v>22933333</v>
      </c>
      <c r="F33" s="319"/>
    </row>
    <row r="34" spans="2:6" x14ac:dyDescent="0.3">
      <c r="B34" s="305" t="s">
        <v>328</v>
      </c>
      <c r="C34" s="315"/>
      <c r="D34" s="315">
        <v>80000000</v>
      </c>
      <c r="E34" s="348">
        <f t="shared" si="2"/>
        <v>80000000</v>
      </c>
      <c r="F34" s="319"/>
    </row>
    <row r="35" spans="2:6" ht="18" x14ac:dyDescent="0.35">
      <c r="B35" s="304" t="s">
        <v>309</v>
      </c>
      <c r="C35" s="312">
        <f>SUM(C19:C25)</f>
        <v>5349680151.6000004</v>
      </c>
      <c r="D35" s="312">
        <f>SUM(D19:D34)</f>
        <v>-4254300232.2700005</v>
      </c>
      <c r="E35" s="349">
        <f>SUM(E19:E34)</f>
        <v>1095379919.3299999</v>
      </c>
      <c r="F35" s="346"/>
    </row>
    <row r="36" spans="2:6" ht="15.6" x14ac:dyDescent="0.3">
      <c r="B36" s="307"/>
      <c r="F36" s="321"/>
    </row>
    <row r="38" spans="2:6" ht="18" x14ac:dyDescent="0.35">
      <c r="B38" s="308" t="s">
        <v>329</v>
      </c>
      <c r="C38" s="316">
        <f>+SUM(C39:C40)</f>
        <v>123955882</v>
      </c>
      <c r="D38" s="310" t="s">
        <v>312</v>
      </c>
      <c r="E38" s="347" t="s">
        <v>303</v>
      </c>
    </row>
    <row r="39" spans="2:6" x14ac:dyDescent="0.3">
      <c r="B39" s="306" t="s">
        <v>330</v>
      </c>
      <c r="C39" s="314">
        <v>30000000</v>
      </c>
      <c r="D39" s="314"/>
      <c r="E39" s="350">
        <f>+C39-D39</f>
        <v>30000000</v>
      </c>
    </row>
    <row r="40" spans="2:6" x14ac:dyDescent="0.3">
      <c r="B40" s="306" t="s">
        <v>331</v>
      </c>
      <c r="C40" s="314">
        <v>93955882</v>
      </c>
      <c r="D40" s="314"/>
      <c r="E40" s="350">
        <f>+C40-D40</f>
        <v>93955882</v>
      </c>
    </row>
    <row r="41" spans="2:6" ht="18" x14ac:dyDescent="0.35">
      <c r="B41" s="304" t="s">
        <v>309</v>
      </c>
      <c r="C41" s="312">
        <f>+C39+C40</f>
        <v>123955882</v>
      </c>
      <c r="D41" s="312">
        <f>+D39+D40</f>
        <v>0</v>
      </c>
      <c r="E41" s="349">
        <f>+E39+E40</f>
        <v>123955882</v>
      </c>
    </row>
    <row r="42" spans="2:6" ht="15.6" x14ac:dyDescent="0.3">
      <c r="B42" s="307"/>
      <c r="C42" s="317"/>
      <c r="D42" s="317"/>
      <c r="E42" s="351"/>
    </row>
    <row r="43" spans="2:6" ht="15.6" x14ac:dyDescent="0.3">
      <c r="B43" s="307"/>
      <c r="C43" s="317"/>
      <c r="D43" s="317"/>
      <c r="E43" s="351"/>
    </row>
    <row r="45" spans="2:6" ht="18" x14ac:dyDescent="0.35">
      <c r="B45" s="308" t="s">
        <v>332</v>
      </c>
      <c r="C45" s="316">
        <f>+SUM(C46:C47)</f>
        <v>501779091</v>
      </c>
      <c r="D45" s="310" t="s">
        <v>312</v>
      </c>
      <c r="E45" s="347" t="s">
        <v>303</v>
      </c>
    </row>
    <row r="46" spans="2:6" x14ac:dyDescent="0.3">
      <c r="B46" s="306" t="s">
        <v>333</v>
      </c>
      <c r="C46" s="318">
        <v>361779091</v>
      </c>
      <c r="D46" s="314">
        <v>-120000000</v>
      </c>
      <c r="E46" s="350">
        <f>+C46+D46</f>
        <v>241779091</v>
      </c>
    </row>
    <row r="47" spans="2:6" x14ac:dyDescent="0.3">
      <c r="B47" s="306" t="s">
        <v>334</v>
      </c>
      <c r="C47" s="318">
        <v>140000000</v>
      </c>
      <c r="D47" s="314"/>
      <c r="E47" s="350">
        <f>+C47-D47</f>
        <v>140000000</v>
      </c>
    </row>
    <row r="48" spans="2:6" x14ac:dyDescent="0.3">
      <c r="B48" s="306" t="s">
        <v>335</v>
      </c>
      <c r="C48" s="318"/>
      <c r="D48" s="314">
        <v>676000000</v>
      </c>
      <c r="E48" s="350">
        <f>+C48+D48</f>
        <v>676000000</v>
      </c>
      <c r="F48" s="341"/>
    </row>
    <row r="49" spans="1:6" x14ac:dyDescent="0.3">
      <c r="B49" s="306" t="s">
        <v>336</v>
      </c>
      <c r="C49" s="318"/>
      <c r="D49" s="314">
        <v>-400000000</v>
      </c>
      <c r="E49" s="350">
        <f>+C49+D49</f>
        <v>-400000000</v>
      </c>
      <c r="F49" s="341"/>
    </row>
    <row r="50" spans="1:6" x14ac:dyDescent="0.3">
      <c r="B50" s="306" t="s">
        <v>337</v>
      </c>
      <c r="C50" s="318"/>
      <c r="D50" s="314">
        <v>-120000000</v>
      </c>
      <c r="E50" s="350">
        <f>+C50+D50</f>
        <v>-120000000</v>
      </c>
      <c r="F50" s="341"/>
    </row>
    <row r="51" spans="1:6" x14ac:dyDescent="0.3">
      <c r="B51" s="306" t="s">
        <v>338</v>
      </c>
      <c r="C51" s="318"/>
      <c r="D51" s="314">
        <v>-71615628</v>
      </c>
      <c r="E51" s="350">
        <f>+C51+D51</f>
        <v>-71615628</v>
      </c>
      <c r="F51" s="341"/>
    </row>
    <row r="52" spans="1:6" ht="18" x14ac:dyDescent="0.35">
      <c r="B52" s="304" t="s">
        <v>309</v>
      </c>
      <c r="C52" s="312">
        <f>+C46+C47</f>
        <v>501779091</v>
      </c>
      <c r="D52" s="312">
        <f>+D46+D47</f>
        <v>-120000000</v>
      </c>
      <c r="E52" s="349">
        <f>+SUM(E46:E51)</f>
        <v>466163463</v>
      </c>
    </row>
    <row r="57" spans="1:6" s="322" customFormat="1" x14ac:dyDescent="0.3">
      <c r="C57" s="323"/>
      <c r="D57" s="323"/>
      <c r="E57" s="352"/>
    </row>
    <row r="60" spans="1:6" x14ac:dyDescent="0.3">
      <c r="A60" s="324" t="s">
        <v>339</v>
      </c>
      <c r="B60" s="326" t="s">
        <v>340</v>
      </c>
      <c r="C60" s="326" t="s">
        <v>341</v>
      </c>
      <c r="D60" s="328" t="s">
        <v>342</v>
      </c>
    </row>
    <row r="61" spans="1:6" x14ac:dyDescent="0.3">
      <c r="A61" s="325">
        <v>28925</v>
      </c>
      <c r="B61" s="327" t="s">
        <v>281</v>
      </c>
      <c r="C61" s="327" t="s">
        <v>111</v>
      </c>
      <c r="D61" s="353">
        <v>74036970</v>
      </c>
      <c r="E61" s="319" t="s">
        <v>343</v>
      </c>
    </row>
    <row r="62" spans="1:6" x14ac:dyDescent="0.3">
      <c r="A62" s="325">
        <v>28925</v>
      </c>
      <c r="B62" s="327" t="s">
        <v>272</v>
      </c>
      <c r="C62" s="327" t="s">
        <v>100</v>
      </c>
      <c r="D62" s="353">
        <v>121244813</v>
      </c>
      <c r="E62" s="319" t="s">
        <v>344</v>
      </c>
    </row>
    <row r="63" spans="1:6" x14ac:dyDescent="0.3">
      <c r="A63" s="325">
        <v>28925</v>
      </c>
      <c r="B63" s="327" t="s">
        <v>280</v>
      </c>
      <c r="C63" s="327" t="s">
        <v>109</v>
      </c>
      <c r="D63" s="353">
        <v>841100</v>
      </c>
      <c r="E63" s="319" t="s">
        <v>345</v>
      </c>
      <c r="F63" s="341"/>
    </row>
    <row r="64" spans="1:6" x14ac:dyDescent="0.3">
      <c r="A64" s="325">
        <v>28925</v>
      </c>
      <c r="B64" s="327" t="s">
        <v>276</v>
      </c>
      <c r="C64" s="327" t="s">
        <v>105</v>
      </c>
      <c r="D64" s="353">
        <v>2175885</v>
      </c>
      <c r="E64" s="319" t="s">
        <v>346</v>
      </c>
    </row>
    <row r="65" spans="1:11" x14ac:dyDescent="0.3">
      <c r="A65" s="325">
        <v>28925</v>
      </c>
      <c r="B65" s="327" t="s">
        <v>253</v>
      </c>
      <c r="C65" s="327" t="s">
        <v>78</v>
      </c>
      <c r="D65" s="353">
        <v>1988875</v>
      </c>
      <c r="E65" s="319" t="s">
        <v>345</v>
      </c>
      <c r="K65" s="341"/>
    </row>
    <row r="66" spans="1:11" x14ac:dyDescent="0.3">
      <c r="A66" s="325">
        <v>28925</v>
      </c>
      <c r="B66" s="327" t="s">
        <v>266</v>
      </c>
      <c r="C66" s="327" t="s">
        <v>92</v>
      </c>
      <c r="D66" s="353">
        <v>753000</v>
      </c>
      <c r="E66" s="319" t="s">
        <v>345</v>
      </c>
    </row>
    <row r="67" spans="1:11" x14ac:dyDescent="0.3">
      <c r="A67" s="325">
        <v>28925</v>
      </c>
      <c r="B67" s="327" t="s">
        <v>275</v>
      </c>
      <c r="C67" s="327" t="s">
        <v>104</v>
      </c>
      <c r="D67" s="353">
        <v>537100</v>
      </c>
      <c r="E67" s="319" t="s">
        <v>347</v>
      </c>
    </row>
    <row r="68" spans="1:11" x14ac:dyDescent="0.3">
      <c r="A68" s="325">
        <v>28925</v>
      </c>
      <c r="B68" s="327" t="s">
        <v>259</v>
      </c>
      <c r="C68" s="327" t="s">
        <v>84</v>
      </c>
      <c r="D68" s="353">
        <v>500000</v>
      </c>
      <c r="E68" s="319" t="s">
        <v>345</v>
      </c>
    </row>
    <row r="69" spans="1:11" ht="18" x14ac:dyDescent="0.35">
      <c r="D69" s="320">
        <f>+SUM(D61:D68)</f>
        <v>202077743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B16" sqref="B16:H16"/>
    </sheetView>
  </sheetViews>
  <sheetFormatPr baseColWidth="10" defaultColWidth="11.44140625" defaultRowHeight="13.8" x14ac:dyDescent="0.3"/>
  <cols>
    <col min="1" max="1" width="4.6640625" style="97" customWidth="1"/>
    <col min="2" max="2" width="39.8867187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6.33203125" style="97" bestFit="1" customWidth="1"/>
    <col min="11" max="16384" width="11.44140625" style="97"/>
  </cols>
  <sheetData>
    <row r="1" spans="2:10" ht="14.4" thickBot="1" x14ac:dyDescent="0.35"/>
    <row r="2" spans="2:10" ht="31.5" customHeight="1" thickBot="1" x14ac:dyDescent="0.35">
      <c r="B2" s="298" t="s">
        <v>160</v>
      </c>
      <c r="C2" s="299" t="s">
        <v>161</v>
      </c>
      <c r="D2" s="299" t="s">
        <v>162</v>
      </c>
      <c r="E2" s="299" t="s">
        <v>163</v>
      </c>
      <c r="F2" s="299" t="s">
        <v>22</v>
      </c>
      <c r="G2" s="299" t="s">
        <v>24</v>
      </c>
      <c r="H2" s="299" t="s">
        <v>298</v>
      </c>
      <c r="I2" s="300" t="s">
        <v>299</v>
      </c>
      <c r="J2" s="301" t="s">
        <v>178</v>
      </c>
    </row>
    <row r="3" spans="2:10" ht="14.4" thickBot="1" x14ac:dyDescent="0.35">
      <c r="B3" s="98" t="s">
        <v>26</v>
      </c>
      <c r="C3" s="99">
        <f>+'INF SECRETARÍA GRAL  (2)'!C3</f>
        <v>58386800000</v>
      </c>
      <c r="D3" s="99">
        <f>+'INF SECRETARÍA GRAL  (2)'!D3</f>
        <v>33378120537.650002</v>
      </c>
      <c r="E3" s="99">
        <f>+'INF SECRETARÍA GRAL  (2)'!E3</f>
        <v>25008679462.349998</v>
      </c>
      <c r="F3" s="99">
        <f>+'INF SECRETARÍA GRAL  (2)'!F3</f>
        <v>33344571609.650002</v>
      </c>
      <c r="G3" s="99">
        <f>+'INF SECRETARÍA GRAL  (2)'!G3</f>
        <v>32839895430.650002</v>
      </c>
      <c r="H3" s="99">
        <f>+'INF SECRETARÍA GRAL  (2)'!H3</f>
        <v>0</v>
      </c>
      <c r="I3" s="100">
        <f t="shared" ref="I3:I14" si="0">+D3/C3</f>
        <v>0.57167237350993716</v>
      </c>
      <c r="J3" s="100">
        <f>+F3/C3</f>
        <v>0.57109777568988196</v>
      </c>
    </row>
    <row r="4" spans="2:10" ht="25.5" customHeight="1" thickBot="1" x14ac:dyDescent="0.35">
      <c r="B4" s="98" t="s">
        <v>179</v>
      </c>
      <c r="C4" s="99">
        <f>+'INF SECRETARÍA GRAL  (2)'!C4</f>
        <v>23832000000</v>
      </c>
      <c r="D4" s="99">
        <f>+'INF SECRETARÍA GRAL  (2)'!D4</f>
        <v>16222244509.23</v>
      </c>
      <c r="E4" s="99">
        <f>+'INF SECRETARÍA GRAL  (2)'!E4</f>
        <v>2875696132.7599998</v>
      </c>
      <c r="F4" s="99">
        <f>+'INF SECRETARÍA GRAL  (2)'!F4</f>
        <v>10299976669.77</v>
      </c>
      <c r="G4" s="99">
        <f>+'INF SECRETARÍA GRAL  (2)'!G4</f>
        <v>10296273380.77</v>
      </c>
      <c r="H4" s="99">
        <f>+'INF SECRETARÍA GRAL  (2)'!H4</f>
        <v>6812098121.0100002</v>
      </c>
      <c r="I4" s="100">
        <f t="shared" si="0"/>
        <v>0.68069169642623362</v>
      </c>
      <c r="J4" s="100">
        <f t="shared" ref="J4:J9" si="1">+F4/C4</f>
        <v>0.43219103179632429</v>
      </c>
    </row>
    <row r="5" spans="2:10" ht="14.4" thickBot="1" x14ac:dyDescent="0.35">
      <c r="B5" s="98" t="s">
        <v>180</v>
      </c>
      <c r="C5" s="99">
        <f>+'INF SECRETARÍA GRAL  (2)'!C5</f>
        <v>104679345544</v>
      </c>
      <c r="D5" s="99">
        <f>+'INF SECRETARÍA GRAL  (2)'!D5</f>
        <v>53242960276.240005</v>
      </c>
      <c r="E5" s="99">
        <f>+'INF SECRETARÍA GRAL  (2)'!E5</f>
        <v>17734075635.599998</v>
      </c>
      <c r="F5" s="99">
        <f>+'INF SECRETARÍA GRAL  (2)'!F5</f>
        <v>30633348964.899998</v>
      </c>
      <c r="G5" s="99">
        <f>+'INF SECRETARÍA GRAL  (2)'!G5</f>
        <v>30633348964.899998</v>
      </c>
      <c r="H5" s="99">
        <f>+'INF SECRETARÍA GRAL  (2)'!H5</f>
        <v>33702309631.959999</v>
      </c>
      <c r="I5" s="100">
        <f>+D5/C5</f>
        <v>0.50862909009934842</v>
      </c>
      <c r="J5" s="100">
        <f t="shared" si="1"/>
        <v>0.29263985942693771</v>
      </c>
    </row>
    <row r="6" spans="2:10" ht="24.6" thickBot="1" x14ac:dyDescent="0.35">
      <c r="B6" s="329" t="str">
        <f>+'INF SECRETARÍA GRAL  (2)'!B6</f>
        <v>DEFENSA DE LOS INTERESES DEL ESTADO EN CONTROVERSIAS INTERNACIONALES</v>
      </c>
      <c r="C6" s="330">
        <f>+'INF SECRETARÍA GRAL  (2)'!C6</f>
        <v>87615180154</v>
      </c>
      <c r="D6" s="330">
        <f>+'INF SECRETARÍA GRAL  (2)'!D6</f>
        <v>42123251619.940002</v>
      </c>
      <c r="E6" s="330">
        <f>+'INF SECRETARÍA GRAL  (2)'!E6</f>
        <v>13243616119.279999</v>
      </c>
      <c r="F6" s="330">
        <f>+'INF SECRETARÍA GRAL  (2)'!F6</f>
        <v>19538961850.599998</v>
      </c>
      <c r="G6" s="330">
        <f>+'INF SECRETARÍA GRAL  (2)'!G6</f>
        <v>19538961850.599998</v>
      </c>
      <c r="H6" s="330">
        <f>+'INF SECRETARÍA GRAL  (2)'!H6</f>
        <v>32248312414.779999</v>
      </c>
      <c r="I6" s="331">
        <f>+'INF SECRETARÍA GRAL  (2)'!I6</f>
        <v>0.48077572340661218</v>
      </c>
      <c r="J6" s="331">
        <f>+'INF SECRETARÍA GRAL  (2)'!J6</f>
        <v>0.22300886463118189</v>
      </c>
    </row>
    <row r="7" spans="2:10" ht="24.6" thickBot="1" x14ac:dyDescent="0.35">
      <c r="B7" s="329" t="str">
        <f>+'INF SECRETARÍA GRAL  (2)'!B7</f>
        <v>PRESTACIONES SOCIALES RELACIONADAS CON EL EMPLEO</v>
      </c>
      <c r="C7" s="330">
        <f>+'INF SECRETARÍA GRAL  (2)'!C7</f>
        <v>262700000</v>
      </c>
      <c r="D7" s="330">
        <f>+'INF SECRETARÍA GRAL  (2)'!D7</f>
        <v>100409779</v>
      </c>
      <c r="E7" s="330">
        <f>+'INF SECRETARÍA GRAL  (2)'!E7</f>
        <v>162290221</v>
      </c>
      <c r="F7" s="330">
        <f>+'INF SECRETARÍA GRAL  (2)'!F7</f>
        <v>75088237</v>
      </c>
      <c r="G7" s="330">
        <f>+'INF SECRETARÍA GRAL  (2)'!G7</f>
        <v>75088237</v>
      </c>
      <c r="H7" s="330">
        <f>+'INF SECRETARÍA GRAL  (2)'!H7</f>
        <v>0</v>
      </c>
      <c r="I7" s="331">
        <f>+'INF SECRETARÍA GRAL  (2)'!I7</f>
        <v>0.38222222687476209</v>
      </c>
      <c r="J7" s="331">
        <f>+'INF SECRETARÍA GRAL  (2)'!J7</f>
        <v>0.28583264940997333</v>
      </c>
    </row>
    <row r="8" spans="2:10" ht="14.4" thickBot="1" x14ac:dyDescent="0.35">
      <c r="B8" s="329" t="str">
        <f>+'INF SECRETARÍA GRAL  (2)'!B8</f>
        <v>FALLOS INTERNACIONALES</v>
      </c>
      <c r="C8" s="330">
        <f>+'INF SECRETARÍA GRAL  (2)'!C8</f>
        <v>16801465390</v>
      </c>
      <c r="D8" s="330">
        <f>+'INF SECRETARÍA GRAL  (2)'!D8</f>
        <v>11019298877.299999</v>
      </c>
      <c r="E8" s="330">
        <f>+'INF SECRETARÍA GRAL  (2)'!E8</f>
        <v>4328169295.3199997</v>
      </c>
      <c r="F8" s="330">
        <f>+'INF SECRETARÍA GRAL  (2)'!F8</f>
        <v>11019298877.299999</v>
      </c>
      <c r="G8" s="330">
        <f>+'INF SECRETARÍA GRAL  (2)'!G8</f>
        <v>11019298877.299999</v>
      </c>
      <c r="H8" s="330">
        <f>+'INF SECRETARÍA GRAL  (2)'!H8</f>
        <v>1453997217.1800001</v>
      </c>
      <c r="I8" s="331">
        <f>+'INF SECRETARÍA GRAL  (2)'!I8</f>
        <v>0.6558534402516184</v>
      </c>
      <c r="J8" s="331">
        <f>+'INF SECRETARÍA GRAL  (2)'!J8</f>
        <v>0.6558534402516184</v>
      </c>
    </row>
    <row r="9" spans="2:10" ht="33" customHeight="1" thickBot="1" x14ac:dyDescent="0.35">
      <c r="B9" s="98" t="s">
        <v>131</v>
      </c>
      <c r="C9" s="99">
        <f>+'INF SECRETARÍA GRAL  (2)'!C9</f>
        <v>299100000</v>
      </c>
      <c r="D9" s="99">
        <f>+'INF SECRETARÍA GRAL  (2)'!D9</f>
        <v>0</v>
      </c>
      <c r="E9" s="99">
        <f>+'INF SECRETARÍA GRAL  (2)'!E9</f>
        <v>0</v>
      </c>
      <c r="F9" s="99">
        <f>+'EJECUCION AGENCIA'!N95</f>
        <v>0</v>
      </c>
      <c r="G9" s="99">
        <f>+'INF SECRETARÍA GRAL  (2)'!G9</f>
        <v>0</v>
      </c>
      <c r="H9" s="99">
        <f>+'INF SECRETARÍA GRAL  (2)'!H9</f>
        <v>299100000</v>
      </c>
      <c r="I9" s="100">
        <f t="shared" si="0"/>
        <v>0</v>
      </c>
      <c r="J9" s="100">
        <f t="shared" si="1"/>
        <v>0</v>
      </c>
    </row>
    <row r="10" spans="2:10" ht="30" customHeight="1" thickBot="1" x14ac:dyDescent="0.35">
      <c r="B10" s="290" t="s">
        <v>135</v>
      </c>
      <c r="C10" s="291">
        <f>+C3+C4+C5+C9</f>
        <v>187197245544</v>
      </c>
      <c r="D10" s="291">
        <f t="shared" ref="D10:H10" si="2">+D3+D4+D5+D9</f>
        <v>102843325323.12001</v>
      </c>
      <c r="E10" s="291">
        <f t="shared" si="2"/>
        <v>45618451230.709991</v>
      </c>
      <c r="F10" s="291">
        <f t="shared" si="2"/>
        <v>74277897244.319992</v>
      </c>
      <c r="G10" s="291">
        <f t="shared" si="2"/>
        <v>73769517776.319992</v>
      </c>
      <c r="H10" s="291">
        <f t="shared" si="2"/>
        <v>40813507752.970001</v>
      </c>
      <c r="I10" s="292">
        <f t="shared" si="0"/>
        <v>0.54938482147135592</v>
      </c>
      <c r="J10" s="292">
        <f>+F10/C10</f>
        <v>0.39678947747583848</v>
      </c>
    </row>
    <row r="11" spans="2:10" ht="65.25" customHeight="1" thickBot="1" x14ac:dyDescent="0.35">
      <c r="B11" s="102" t="s">
        <v>143</v>
      </c>
      <c r="C11" s="99">
        <f>+'INF SECRETARÍA GRAL  (2)'!C11</f>
        <v>3713230542</v>
      </c>
      <c r="D11" s="99">
        <f>+'INF SECRETARÍA GRAL  (2)'!D11</f>
        <v>1990623300</v>
      </c>
      <c r="E11" s="302">
        <f>+'INF SECRETARÍA GRAL  (2)'!E11</f>
        <v>1656080438</v>
      </c>
      <c r="F11" s="99">
        <f>+'INF SECRETARÍA GRAL  (2)'!F11</f>
        <v>525573040</v>
      </c>
      <c r="G11" s="99">
        <f>+'INF SECRETARÍA GRAL  (2)'!G11</f>
        <v>525573040</v>
      </c>
      <c r="H11" s="99">
        <f>+'INF SECRETARÍA GRAL  (2)'!H11</f>
        <v>66526804</v>
      </c>
      <c r="I11" s="100">
        <f t="shared" si="0"/>
        <v>0.53608933716456542</v>
      </c>
      <c r="J11" s="100">
        <f>+F11/C11</f>
        <v>0.14154064339805811</v>
      </c>
    </row>
    <row r="12" spans="2:10" ht="65.25" customHeight="1" thickBot="1" x14ac:dyDescent="0.35">
      <c r="B12" s="102" t="s">
        <v>348</v>
      </c>
      <c r="C12" s="99">
        <f>+'INF SECRETARÍA GRAL  (2)'!C12</f>
        <v>8553096458</v>
      </c>
      <c r="D12" s="99">
        <f>+'INF SECRETARÍA GRAL  (2)'!D12</f>
        <v>7669679976</v>
      </c>
      <c r="E12" s="99">
        <f>+'INF SECRETARÍA GRAL  (2)'!E12</f>
        <v>749069664</v>
      </c>
      <c r="F12" s="99">
        <f>+'INF SECRETARÍA GRAL  (2)'!F12</f>
        <v>2357531795</v>
      </c>
      <c r="G12" s="99">
        <f>+'INF SECRETARÍA GRAL  (2)'!G12</f>
        <v>2357531795</v>
      </c>
      <c r="H12" s="99">
        <f>+'INF SECRETARÍA GRAL  (2)'!H12</f>
        <v>134346818</v>
      </c>
      <c r="I12" s="100">
        <f t="shared" si="0"/>
        <v>0.896713840848397</v>
      </c>
      <c r="J12" s="100">
        <f>+F12/C12</f>
        <v>0.27563488925638396</v>
      </c>
    </row>
    <row r="13" spans="2:10" ht="23.4" customHeight="1" thickBot="1" x14ac:dyDescent="0.35">
      <c r="B13" s="290" t="s">
        <v>156</v>
      </c>
      <c r="C13" s="291">
        <f>+C11+C12</f>
        <v>12266327000</v>
      </c>
      <c r="D13" s="291">
        <f t="shared" ref="D13:H13" si="3">+D11+D12</f>
        <v>9660303276</v>
      </c>
      <c r="E13" s="291">
        <f t="shared" si="3"/>
        <v>2405150102</v>
      </c>
      <c r="F13" s="291">
        <f t="shared" si="3"/>
        <v>2883104835</v>
      </c>
      <c r="G13" s="291">
        <f t="shared" si="3"/>
        <v>2883104835</v>
      </c>
      <c r="H13" s="291">
        <f t="shared" si="3"/>
        <v>200873622</v>
      </c>
      <c r="I13" s="292">
        <f>+D13/C13</f>
        <v>0.78754653092160354</v>
      </c>
      <c r="J13" s="292">
        <f>+F13/C13</f>
        <v>0.2350422286149717</v>
      </c>
    </row>
    <row r="14" spans="2:10" ht="42" customHeight="1" thickBot="1" x14ac:dyDescent="0.35">
      <c r="B14" s="293" t="s">
        <v>300</v>
      </c>
      <c r="C14" s="294">
        <f>+C10+C13</f>
        <v>199463572544</v>
      </c>
      <c r="D14" s="294">
        <f>+D10+D13</f>
        <v>112503628599.12001</v>
      </c>
      <c r="E14" s="294">
        <f t="shared" ref="E14:H14" si="4">+E10+E13</f>
        <v>48023601332.709991</v>
      </c>
      <c r="F14" s="294">
        <f t="shared" si="4"/>
        <v>77161002079.319992</v>
      </c>
      <c r="G14" s="294">
        <f t="shared" si="4"/>
        <v>76652622611.319992</v>
      </c>
      <c r="H14" s="294">
        <f t="shared" si="4"/>
        <v>41014381374.970001</v>
      </c>
      <c r="I14" s="295">
        <f t="shared" si="0"/>
        <v>0.56403095143752446</v>
      </c>
      <c r="J14" s="295">
        <f>+F14/C14</f>
        <v>0.38684257528927452</v>
      </c>
    </row>
    <row r="15" spans="2:10" ht="34.950000000000003" customHeight="1" thickBot="1" x14ac:dyDescent="0.35">
      <c r="B15" s="102" t="s">
        <v>181</v>
      </c>
      <c r="C15" s="99">
        <f>+'INF SECRETARÍA GRAL  (2)'!C15</f>
        <v>8294500000</v>
      </c>
      <c r="D15" s="99"/>
      <c r="E15" s="99"/>
      <c r="F15" s="99"/>
      <c r="G15" s="99"/>
      <c r="H15" s="99"/>
      <c r="I15" s="100"/>
      <c r="J15" s="100"/>
    </row>
    <row r="16" spans="2:10" ht="25.2" customHeight="1" thickBot="1" x14ac:dyDescent="0.35">
      <c r="B16" s="296" t="s">
        <v>182</v>
      </c>
      <c r="C16" s="297">
        <f>+C14+C15</f>
        <v>207758072544</v>
      </c>
      <c r="D16" s="297">
        <f>+D14</f>
        <v>112503628599.12001</v>
      </c>
      <c r="E16" s="297">
        <f>+E14</f>
        <v>48023601332.709991</v>
      </c>
      <c r="F16" s="297">
        <f>+F14</f>
        <v>77161002079.319992</v>
      </c>
      <c r="G16" s="297">
        <f>+G14</f>
        <v>76652622611.319992</v>
      </c>
      <c r="H16" s="297">
        <f>+H14</f>
        <v>41014381374.970001</v>
      </c>
      <c r="I16" s="284">
        <f>+D16/C16</f>
        <v>0.54151267010476067</v>
      </c>
      <c r="J16" s="284">
        <f>+F16/C16</f>
        <v>0.37139833429566721</v>
      </c>
    </row>
    <row r="17" spans="3:4" x14ac:dyDescent="0.3">
      <c r="C17" s="116"/>
    </row>
    <row r="18" spans="3:4" x14ac:dyDescent="0.3">
      <c r="D18" s="97" t="s">
        <v>2</v>
      </c>
    </row>
    <row r="19" spans="3:4" x14ac:dyDescent="0.3">
      <c r="D19" s="267"/>
    </row>
    <row r="21" spans="3:4" x14ac:dyDescent="0.3">
      <c r="D21" s="116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ColWidth="11.44140625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160</v>
      </c>
      <c r="B2" s="3" t="s">
        <v>189</v>
      </c>
      <c r="C2" s="7" t="s">
        <v>349</v>
      </c>
      <c r="D2" s="3" t="s">
        <v>350</v>
      </c>
      <c r="E2" s="4" t="s">
        <v>351</v>
      </c>
      <c r="F2" s="4" t="s">
        <v>352</v>
      </c>
    </row>
    <row r="3" spans="1:6" ht="32.25" customHeight="1" x14ac:dyDescent="0.3">
      <c r="A3" s="5" t="s">
        <v>353</v>
      </c>
      <c r="B3" s="494" t="s">
        <v>354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355</v>
      </c>
      <c r="B4" s="495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356</v>
      </c>
      <c r="B5" s="6" t="s">
        <v>357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496" t="s">
        <v>358</v>
      </c>
      <c r="B6" s="496"/>
      <c r="C6" s="496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6VQC4QCV76MK-1797982362-26</_dlc_DocId>
    <_dlc_DocIdUrl xmlns="40839eeb-5a66-4e6e-aa47-122bf840a467">
      <Url>https://www.defensajuridica.gov.co/gestion/presupuesto-seguimiento-presupuestal/ejecucion-presupuestal/_layouts/15/DocIdRedir.aspx?ID=6VQC4QCV76MK-1797982362-26</Url>
      <Description>6VQC4QCV76MK-1797982362-26</Description>
    </_dlc_DocIdUrl>
  </documentManagement>
</p:properties>
</file>

<file path=customXml/itemProps1.xml><?xml version="1.0" encoding="utf-8"?>
<ds:datastoreItem xmlns:ds="http://schemas.openxmlformats.org/officeDocument/2006/customXml" ds:itemID="{776DC5C4-EB21-47AC-BDB7-F082177FE3C1}"/>
</file>

<file path=customXml/itemProps2.xml><?xml version="1.0" encoding="utf-8"?>
<ds:datastoreItem xmlns:ds="http://schemas.openxmlformats.org/officeDocument/2006/customXml" ds:itemID="{D23918C1-3EB2-484B-93BF-68903B580469}"/>
</file>

<file path=customXml/itemProps3.xml><?xml version="1.0" encoding="utf-8"?>
<ds:datastoreItem xmlns:ds="http://schemas.openxmlformats.org/officeDocument/2006/customXml" ds:itemID="{1E05F45C-617F-437B-A8B5-9DE0A85E4C75}"/>
</file>

<file path=customXml/itemProps4.xml><?xml version="1.0" encoding="utf-8"?>
<ds:datastoreItem xmlns:ds="http://schemas.openxmlformats.org/officeDocument/2006/customXml" ds:itemID="{90F05322-942D-4332-A790-176F155717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Seguimiento aprop. disponible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Dary Casallas Corredor</dc:creator>
  <cp:keywords/>
  <dc:description/>
  <cp:lastModifiedBy>Jhohanna Alexandra Guevara Gonzalez</cp:lastModifiedBy>
  <cp:revision/>
  <cp:lastPrinted>2025-09-04T17:27:29Z</cp:lastPrinted>
  <dcterms:created xsi:type="dcterms:W3CDTF">2012-04-02T22:31:08Z</dcterms:created>
  <dcterms:modified xsi:type="dcterms:W3CDTF">2025-09-04T17:27:58Z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9fd31857-560d-43e6-abfa-d954ea7fe586</vt:lpwstr>
  </property>
</Properties>
</file>