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ESUPUESTO\2025\INFORMES DE EJECUCIÓN\EJECUCIÓN MENSUAL\"/>
    </mc:Choice>
  </mc:AlternateContent>
  <xr:revisionPtr revIDLastSave="0" documentId="13_ncr:1_{CBA6909C-4C4E-4DDC-B188-DE88B0ED3BB3}" xr6:coauthVersionLast="47" xr6:coauthVersionMax="47" xr10:uidLastSave="{00000000-0000-0000-0000-000000000000}"/>
  <bookViews>
    <workbookView xWindow="28680" yWindow="-120" windowWidth="29040" windowHeight="15720" tabRatio="829" activeTab="2" xr2:uid="{00000000-000D-0000-FFFF-FFFF00000000}"/>
  </bookViews>
  <sheets>
    <sheet name="EJECUCION AGENCIA" sheetId="68" r:id="rId1"/>
    <sheet name="SEG.PTAL-DR " sheetId="88" r:id="rId2"/>
    <sheet name="INF SECRETARÍA GRAL " sheetId="66" r:id="rId3"/>
    <sheet name="EJ. AGREGADA" sheetId="86" r:id="rId4"/>
    <sheet name="EJ. DESAGREGADA" sheetId="87" r:id="rId5"/>
    <sheet name="INF SECRETARÍA GRAL  (2)" sheetId="90" r:id="rId6"/>
  </sheets>
  <externalReferences>
    <externalReference r:id="rId7"/>
  </externalReferences>
  <definedNames>
    <definedName name="_xlnm._FilterDatabase" localSheetId="3" hidden="1">'EJ. AGREGADA'!$A$4:$AC$19</definedName>
    <definedName name="_xlnm._FilterDatabase" localSheetId="4" hidden="1">'EJ. DESAGREGADA'!$A$4:$AC$68</definedName>
    <definedName name="_xlnm._FilterDatabase" localSheetId="0" hidden="1">'EJECUCION AGENCIA'!$H$8:$M$8</definedName>
    <definedName name="_xlnm._FilterDatabase" localSheetId="1" hidden="1">'SEG.PTAL-DR '!$A$18:$S$25</definedName>
    <definedName name="A" localSheetId="5">#REF!</definedName>
    <definedName name="A">#REF!</definedName>
    <definedName name="_xlnm.Print_Area" localSheetId="0">'EJECUCION AGENCIA'!$A$2:$Q$135</definedName>
    <definedName name="_xlnm.Print_Area" localSheetId="1">'SEG.PTAL-DR '!$A$2:$O$44</definedName>
    <definedName name="Lista_años" localSheetId="2">#REF!</definedName>
    <definedName name="Lista_años" localSheetId="5">#REF!</definedName>
    <definedName name="Lista_años" localSheetId="1">#REF!</definedName>
    <definedName name="Lista_años">#REF!</definedName>
    <definedName name="Meses" localSheetId="2">#REF!</definedName>
    <definedName name="Meses" localSheetId="5">#REF!</definedName>
    <definedName name="Meses" localSheetId="1">#REF!</definedName>
    <definedName name="Meses">#REF!</definedName>
    <definedName name="Seccion" localSheetId="2">#REF!</definedName>
    <definedName name="Seccion" localSheetId="5">#REF!</definedName>
    <definedName name="Seccion" localSheetId="1">#REF!</definedName>
    <definedName name="Seccion">#REF!</definedName>
    <definedName name="SECRETARIO" localSheetId="5">#REF!</definedName>
    <definedName name="SECRETARIO" localSheetId="1">#REF!</definedName>
    <definedName name="SECRETARIO">#REF!</definedName>
    <definedName name="_xlnm.Print_Titles" localSheetId="0">'EJECUCION AGENCIA'!$3:$7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88" l="1"/>
  <c r="I26" i="88"/>
  <c r="I10" i="88"/>
  <c r="L86" i="68" l="1"/>
  <c r="E6" i="90" s="1"/>
  <c r="N16" i="88"/>
  <c r="M38" i="68"/>
  <c r="M16" i="88"/>
  <c r="H6" i="90" l="1"/>
  <c r="M86" i="68"/>
  <c r="M63" i="68"/>
  <c r="AB67" i="87"/>
  <c r="AB66" i="87"/>
  <c r="AB65" i="87"/>
  <c r="AB64" i="87"/>
  <c r="AB63" i="87"/>
  <c r="AB62" i="87"/>
  <c r="AB61" i="87"/>
  <c r="AB60" i="87"/>
  <c r="AB59" i="87"/>
  <c r="AB58" i="87"/>
  <c r="AB57" i="87"/>
  <c r="AB56" i="87"/>
  <c r="AB55" i="87"/>
  <c r="AB54" i="87"/>
  <c r="AB53" i="87"/>
  <c r="AB52" i="87"/>
  <c r="AB51" i="87"/>
  <c r="AB50" i="87"/>
  <c r="AB49" i="87"/>
  <c r="AB48" i="87"/>
  <c r="AB47" i="87"/>
  <c r="AB46" i="87"/>
  <c r="AB45" i="87"/>
  <c r="AB44" i="87"/>
  <c r="AB43" i="87"/>
  <c r="AB42" i="87"/>
  <c r="AB41" i="87"/>
  <c r="AB40" i="87"/>
  <c r="AB39" i="87"/>
  <c r="AB38" i="87"/>
  <c r="AB37" i="87"/>
  <c r="AB36" i="87"/>
  <c r="AB35" i="87"/>
  <c r="AB34" i="87"/>
  <c r="AB33" i="87"/>
  <c r="AB32" i="87"/>
  <c r="AB31" i="87"/>
  <c r="AB30" i="87"/>
  <c r="AB29" i="87"/>
  <c r="AB28" i="87"/>
  <c r="AB27" i="87"/>
  <c r="AB26" i="87"/>
  <c r="AB25" i="87"/>
  <c r="AB24" i="87"/>
  <c r="AB23" i="87"/>
  <c r="AB22" i="87"/>
  <c r="AB21" i="87"/>
  <c r="AB20" i="87"/>
  <c r="AB19" i="87"/>
  <c r="AB18" i="87"/>
  <c r="AB17" i="87"/>
  <c r="AB16" i="87"/>
  <c r="AB15" i="87"/>
  <c r="AB14" i="87"/>
  <c r="AB13" i="87"/>
  <c r="AB12" i="87"/>
  <c r="AB11" i="87"/>
  <c r="AB10" i="87"/>
  <c r="AB9" i="87"/>
  <c r="AB8" i="87"/>
  <c r="AB7" i="87"/>
  <c r="AB6" i="87"/>
  <c r="AB5" i="87"/>
  <c r="M94" i="68"/>
  <c r="M71" i="68" l="1"/>
  <c r="L71" i="68" s="1"/>
  <c r="L63" i="68"/>
  <c r="L46" i="68"/>
  <c r="M46" i="68"/>
  <c r="AC6" i="86" l="1"/>
  <c r="AC7" i="86"/>
  <c r="AC8" i="86"/>
  <c r="AC9" i="86"/>
  <c r="AC10" i="86"/>
  <c r="AC11" i="86"/>
  <c r="AC12" i="86"/>
  <c r="AC13" i="86"/>
  <c r="AC14" i="86"/>
  <c r="AC15" i="86"/>
  <c r="AC16" i="86"/>
  <c r="AC17" i="86"/>
  <c r="AC5" i="86"/>
  <c r="M69" i="68"/>
  <c r="L69" i="68" s="1"/>
  <c r="M59" i="68"/>
  <c r="L59" i="68"/>
  <c r="L94" i="68"/>
  <c r="M72" i="68" l="1"/>
  <c r="L72" i="68" s="1"/>
  <c r="L68" i="68"/>
  <c r="L97" i="68" l="1"/>
  <c r="M112" i="68"/>
  <c r="L112" i="68" s="1"/>
  <c r="L109" i="68"/>
  <c r="L106" i="68"/>
  <c r="L103" i="68"/>
  <c r="L76" i="68"/>
  <c r="L74" i="68"/>
  <c r="M73" i="68"/>
  <c r="L73" i="68"/>
  <c r="M65" i="68"/>
  <c r="L65" i="68"/>
  <c r="M62" i="68"/>
  <c r="L62" i="68"/>
  <c r="M55" i="68"/>
  <c r="L55" i="68"/>
  <c r="M54" i="68"/>
  <c r="L54" i="68"/>
  <c r="M53" i="68"/>
  <c r="L53" i="68"/>
  <c r="M52" i="68"/>
  <c r="L52" i="68"/>
  <c r="M50" i="68"/>
  <c r="L50" i="68"/>
  <c r="M49" i="68"/>
  <c r="L49" i="68"/>
  <c r="M47" i="68"/>
  <c r="L47" i="68"/>
  <c r="P30" i="68"/>
  <c r="P31" i="68"/>
  <c r="P32" i="68"/>
  <c r="P33" i="68"/>
  <c r="P34" i="68"/>
  <c r="P35" i="68"/>
  <c r="N30" i="68"/>
  <c r="N31" i="68"/>
  <c r="N32" i="68"/>
  <c r="N33" i="68"/>
  <c r="N34" i="68"/>
  <c r="N35" i="68"/>
  <c r="M30" i="68"/>
  <c r="M31" i="68"/>
  <c r="M32" i="68"/>
  <c r="M33" i="68"/>
  <c r="M34" i="68"/>
  <c r="M35" i="68"/>
  <c r="L30" i="68"/>
  <c r="L31" i="68"/>
  <c r="L32" i="68"/>
  <c r="L33" i="68"/>
  <c r="L34" i="68"/>
  <c r="L35" i="68"/>
  <c r="J30" i="68"/>
  <c r="J31" i="68"/>
  <c r="J32" i="68"/>
  <c r="J33" i="68"/>
  <c r="J34" i="68"/>
  <c r="J35" i="68"/>
  <c r="I31" i="68"/>
  <c r="I32" i="68"/>
  <c r="I33" i="68"/>
  <c r="I34" i="68"/>
  <c r="I35" i="68"/>
  <c r="I30" i="68"/>
  <c r="P112" i="68" l="1"/>
  <c r="N112" i="68"/>
  <c r="J112" i="68"/>
  <c r="I112" i="68"/>
  <c r="P109" i="68"/>
  <c r="N109" i="68"/>
  <c r="J109" i="68"/>
  <c r="I109" i="68"/>
  <c r="P106" i="68"/>
  <c r="N106" i="68"/>
  <c r="J106" i="68"/>
  <c r="I106" i="68"/>
  <c r="P103" i="68"/>
  <c r="N103" i="68"/>
  <c r="J103" i="68"/>
  <c r="I103" i="68"/>
  <c r="P94" i="68"/>
  <c r="N94" i="68"/>
  <c r="P91" i="68"/>
  <c r="P90" i="68"/>
  <c r="M91" i="68"/>
  <c r="M90" i="68"/>
  <c r="P86" i="68"/>
  <c r="N86" i="68"/>
  <c r="P82" i="68"/>
  <c r="N82" i="68"/>
  <c r="M82" i="68"/>
  <c r="L82" i="68"/>
  <c r="I82" i="68"/>
  <c r="J82" i="68"/>
  <c r="P79" i="68"/>
  <c r="P80" i="68"/>
  <c r="P81" i="68"/>
  <c r="P78" i="68"/>
  <c r="N79" i="68"/>
  <c r="N80" i="68"/>
  <c r="N81" i="68"/>
  <c r="N78" i="68"/>
  <c r="L79" i="68"/>
  <c r="L80" i="68"/>
  <c r="L81" i="68"/>
  <c r="L78" i="68"/>
  <c r="J79" i="68"/>
  <c r="J80" i="68"/>
  <c r="J81" i="68"/>
  <c r="J78" i="68"/>
  <c r="I79" i="68"/>
  <c r="I80" i="68"/>
  <c r="I81" i="68"/>
  <c r="I78" i="68"/>
  <c r="P72" i="68"/>
  <c r="P73" i="68"/>
  <c r="P74" i="68"/>
  <c r="P75" i="68"/>
  <c r="P76" i="68"/>
  <c r="P71" i="68"/>
  <c r="N72" i="68"/>
  <c r="N73" i="68"/>
  <c r="N74" i="68"/>
  <c r="N75" i="68"/>
  <c r="N76" i="68"/>
  <c r="N71" i="68"/>
  <c r="M75" i="68"/>
  <c r="M70" i="68" s="1"/>
  <c r="J72" i="68"/>
  <c r="J73" i="68"/>
  <c r="J74" i="68"/>
  <c r="J75" i="68"/>
  <c r="J76" i="68"/>
  <c r="J71" i="68"/>
  <c r="I72" i="68"/>
  <c r="I73" i="68"/>
  <c r="I74" i="68"/>
  <c r="I75" i="68"/>
  <c r="I76" i="68"/>
  <c r="I71" i="68"/>
  <c r="P68" i="68"/>
  <c r="P69" i="68"/>
  <c r="P67" i="68"/>
  <c r="N68" i="68"/>
  <c r="N69" i="68"/>
  <c r="N67" i="68"/>
  <c r="M67" i="68"/>
  <c r="J68" i="68"/>
  <c r="J69" i="68"/>
  <c r="J67" i="68"/>
  <c r="I68" i="68"/>
  <c r="I69" i="68"/>
  <c r="I67" i="68"/>
  <c r="P63" i="68"/>
  <c r="P64" i="68"/>
  <c r="P65" i="68"/>
  <c r="P62" i="68"/>
  <c r="N63" i="68"/>
  <c r="N64" i="68"/>
  <c r="N65" i="68"/>
  <c r="N62" i="68"/>
  <c r="M64" i="68"/>
  <c r="J63" i="68"/>
  <c r="J64" i="68"/>
  <c r="J65" i="68"/>
  <c r="J62" i="68"/>
  <c r="I63" i="68"/>
  <c r="I64" i="68"/>
  <c r="I65" i="68"/>
  <c r="I62" i="68"/>
  <c r="P58" i="68"/>
  <c r="P59" i="68"/>
  <c r="P60" i="68"/>
  <c r="P57" i="68"/>
  <c r="N58" i="68"/>
  <c r="N59" i="68"/>
  <c r="N60" i="68"/>
  <c r="N57" i="68"/>
  <c r="M58" i="68"/>
  <c r="M60" i="68"/>
  <c r="M57" i="68"/>
  <c r="J58" i="68"/>
  <c r="J59" i="68"/>
  <c r="J60" i="68"/>
  <c r="J57" i="68"/>
  <c r="I58" i="68"/>
  <c r="I59" i="68"/>
  <c r="I60" i="68"/>
  <c r="I57" i="68"/>
  <c r="P50" i="68"/>
  <c r="P51" i="68"/>
  <c r="P52" i="68"/>
  <c r="P53" i="68"/>
  <c r="P54" i="68"/>
  <c r="P55" i="68"/>
  <c r="N50" i="68"/>
  <c r="N51" i="68"/>
  <c r="N52" i="68"/>
  <c r="N53" i="68"/>
  <c r="N54" i="68"/>
  <c r="N55" i="68"/>
  <c r="N49" i="68"/>
  <c r="P49" i="68"/>
  <c r="M51" i="68"/>
  <c r="J50" i="68"/>
  <c r="J51" i="68"/>
  <c r="J52" i="68"/>
  <c r="J53" i="68"/>
  <c r="J54" i="68"/>
  <c r="J55" i="68"/>
  <c r="J49" i="68"/>
  <c r="I50" i="68"/>
  <c r="I51" i="68"/>
  <c r="I52" i="68"/>
  <c r="I53" i="68"/>
  <c r="I54" i="68"/>
  <c r="I55" i="68"/>
  <c r="I49" i="68"/>
  <c r="P46" i="68"/>
  <c r="P47" i="68"/>
  <c r="P45" i="68"/>
  <c r="N46" i="68"/>
  <c r="N47" i="68"/>
  <c r="N45" i="68"/>
  <c r="M45" i="68"/>
  <c r="J46" i="68"/>
  <c r="J47" i="68"/>
  <c r="J45" i="68"/>
  <c r="I46" i="68"/>
  <c r="I47" i="68"/>
  <c r="I45" i="68"/>
  <c r="P41" i="68"/>
  <c r="N41" i="68"/>
  <c r="M41" i="68"/>
  <c r="J41" i="68"/>
  <c r="I41" i="68"/>
  <c r="P29" i="68"/>
  <c r="N29" i="68"/>
  <c r="J29" i="68"/>
  <c r="I29" i="68"/>
  <c r="N21" i="68"/>
  <c r="N22" i="68"/>
  <c r="N23" i="68"/>
  <c r="N24" i="68"/>
  <c r="N25" i="68"/>
  <c r="N26" i="68"/>
  <c r="N20" i="68"/>
  <c r="J21" i="68"/>
  <c r="J22" i="68"/>
  <c r="J23" i="68"/>
  <c r="J24" i="68"/>
  <c r="J25" i="68"/>
  <c r="J26" i="68"/>
  <c r="J20" i="68"/>
  <c r="I21" i="68"/>
  <c r="I22" i="68"/>
  <c r="I23" i="68"/>
  <c r="I24" i="68"/>
  <c r="I25" i="68"/>
  <c r="I26" i="68"/>
  <c r="I20" i="68"/>
  <c r="N18" i="68"/>
  <c r="N13" i="68"/>
  <c r="N14" i="68"/>
  <c r="N15" i="68"/>
  <c r="N16" i="68"/>
  <c r="N17" i="68"/>
  <c r="N12" i="68"/>
  <c r="J13" i="68"/>
  <c r="J14" i="68"/>
  <c r="J15" i="68"/>
  <c r="J16" i="68"/>
  <c r="J17" i="68"/>
  <c r="J18" i="68"/>
  <c r="J12" i="68"/>
  <c r="I13" i="68"/>
  <c r="I14" i="68"/>
  <c r="I15" i="68"/>
  <c r="I16" i="68"/>
  <c r="I17" i="68"/>
  <c r="I18" i="68"/>
  <c r="I12" i="68"/>
  <c r="I28" i="68" l="1"/>
  <c r="I27" i="68"/>
  <c r="G6" i="90" l="1"/>
  <c r="F6" i="90"/>
  <c r="N91" i="68"/>
  <c r="N90" i="68"/>
  <c r="L91" i="68"/>
  <c r="L90" i="68"/>
  <c r="J91" i="68"/>
  <c r="J90" i="68"/>
  <c r="I91" i="68"/>
  <c r="I90" i="68"/>
  <c r="J94" i="68"/>
  <c r="I94" i="68"/>
  <c r="L75" i="68" l="1"/>
  <c r="L67" i="68"/>
  <c r="L64" i="68"/>
  <c r="L60" i="68"/>
  <c r="L58" i="68"/>
  <c r="L57" i="68"/>
  <c r="L51" i="68"/>
  <c r="L45" i="68"/>
  <c r="L41" i="68"/>
  <c r="L40" i="68" s="1"/>
  <c r="L29" i="68"/>
  <c r="L26" i="68"/>
  <c r="L25" i="68"/>
  <c r="L24" i="68"/>
  <c r="L23" i="68"/>
  <c r="L22" i="68"/>
  <c r="L21" i="68"/>
  <c r="L20" i="68"/>
  <c r="L18" i="68"/>
  <c r="L17" i="68"/>
  <c r="L16" i="68"/>
  <c r="L15" i="68"/>
  <c r="L14" i="68"/>
  <c r="L13" i="68"/>
  <c r="L12" i="68"/>
  <c r="N25" i="88" l="1"/>
  <c r="M78" i="68" l="1"/>
  <c r="B12" i="90"/>
  <c r="B11" i="90"/>
  <c r="I92" i="68" l="1"/>
  <c r="C8" i="90" s="1"/>
  <c r="M95" i="68"/>
  <c r="M48" i="68" l="1"/>
  <c r="M79" i="68"/>
  <c r="M80" i="68"/>
  <c r="M81" i="68"/>
  <c r="P39" i="68"/>
  <c r="N39" i="68"/>
  <c r="M39" i="68"/>
  <c r="L39" i="68"/>
  <c r="L38" i="68" s="1"/>
  <c r="N38" i="68"/>
  <c r="L16" i="88" s="1"/>
  <c r="J40" i="68"/>
  <c r="J39" i="68" s="1"/>
  <c r="I38" i="68"/>
  <c r="I16" i="88" s="1"/>
  <c r="K16" i="88" l="1"/>
  <c r="I40" i="68"/>
  <c r="I39" i="68" s="1"/>
  <c r="Q39" i="68" s="1"/>
  <c r="O41" i="68"/>
  <c r="K41" i="68"/>
  <c r="Q41" i="68"/>
  <c r="J38" i="68"/>
  <c r="J16" i="88" s="1"/>
  <c r="K40" i="68" l="1"/>
  <c r="K39" i="68"/>
  <c r="Q40" i="68"/>
  <c r="O40" i="68"/>
  <c r="O39" i="68"/>
  <c r="N111" i="68"/>
  <c r="N110" i="68" s="1"/>
  <c r="L31" i="88" s="1"/>
  <c r="M111" i="68"/>
  <c r="M110" i="68" s="1"/>
  <c r="N31" i="88" s="1"/>
  <c r="I111" i="68"/>
  <c r="I110" i="68" s="1"/>
  <c r="I31" i="88" s="1"/>
  <c r="L111" i="68"/>
  <c r="L110" i="68" s="1"/>
  <c r="K31" i="88" s="1"/>
  <c r="J108" i="68"/>
  <c r="P31" i="88" l="1"/>
  <c r="O112" i="68"/>
  <c r="O111" i="68" s="1"/>
  <c r="O110" i="68" s="1"/>
  <c r="Q112" i="68"/>
  <c r="P111" i="68"/>
  <c r="P110" i="68" s="1"/>
  <c r="M31" i="88" s="1"/>
  <c r="Q31" i="88" s="1"/>
  <c r="K112" i="68"/>
  <c r="K111" i="68" s="1"/>
  <c r="K110" i="68" s="1"/>
  <c r="J111" i="68"/>
  <c r="J110" i="68" s="1"/>
  <c r="J31" i="88" s="1"/>
  <c r="O31" i="88" s="1"/>
  <c r="P102" i="68"/>
  <c r="M102" i="68"/>
  <c r="P97" i="68"/>
  <c r="N97" i="68"/>
  <c r="J97" i="68"/>
  <c r="I97" i="68"/>
  <c r="N21" i="88"/>
  <c r="P87" i="68"/>
  <c r="N87" i="68"/>
  <c r="M87" i="68"/>
  <c r="J87" i="68"/>
  <c r="I87" i="68"/>
  <c r="J86" i="68"/>
  <c r="D6" i="90" s="1"/>
  <c r="I86" i="68"/>
  <c r="C6" i="90" s="1"/>
  <c r="P36" i="68"/>
  <c r="N36" i="68"/>
  <c r="M36" i="68"/>
  <c r="J36" i="68"/>
  <c r="I36" i="68"/>
  <c r="I14" i="88" s="1"/>
  <c r="I6" i="90" l="1"/>
  <c r="J6" i="90"/>
  <c r="I89" i="68"/>
  <c r="I88" i="68" s="1"/>
  <c r="C7" i="90" s="1"/>
  <c r="K55" i="68"/>
  <c r="K87" i="68"/>
  <c r="K36" i="68"/>
  <c r="I23" i="88"/>
  <c r="I21" i="88"/>
  <c r="C5" i="90" l="1"/>
  <c r="M56" i="68" l="1"/>
  <c r="O55" i="68"/>
  <c r="P48" i="68"/>
  <c r="N56" i="68"/>
  <c r="N70" i="68"/>
  <c r="N77" i="68"/>
  <c r="N66" i="68"/>
  <c r="I48" i="68"/>
  <c r="N61" i="68"/>
  <c r="J48" i="68"/>
  <c r="O49" i="68"/>
  <c r="K52" i="68"/>
  <c r="J44" i="68"/>
  <c r="Q55" i="68"/>
  <c r="O52" i="68"/>
  <c r="K49" i="68"/>
  <c r="Q49" i="68"/>
  <c r="K46" i="68"/>
  <c r="K47" i="68"/>
  <c r="O46" i="68"/>
  <c r="O47" i="68"/>
  <c r="Q46" i="68"/>
  <c r="Q47" i="68"/>
  <c r="L87" i="68" l="1"/>
  <c r="M28" i="88"/>
  <c r="M23" i="88"/>
  <c r="L23" i="88"/>
  <c r="N23" i="88"/>
  <c r="J23" i="88"/>
  <c r="M22" i="88"/>
  <c r="M21" i="88"/>
  <c r="L22" i="88"/>
  <c r="L21" i="88"/>
  <c r="N22" i="88"/>
  <c r="J22" i="88"/>
  <c r="J21" i="88"/>
  <c r="I28" i="88"/>
  <c r="I108" i="68"/>
  <c r="I107" i="68" s="1"/>
  <c r="N96" i="68"/>
  <c r="N95" i="68" s="1"/>
  <c r="M25" i="88"/>
  <c r="M20" i="88"/>
  <c r="P44" i="68"/>
  <c r="L20" i="88"/>
  <c r="N48" i="68"/>
  <c r="N44" i="68"/>
  <c r="N20" i="88"/>
  <c r="M44" i="68"/>
  <c r="J20" i="88"/>
  <c r="I20" i="88"/>
  <c r="I44" i="68"/>
  <c r="P20" i="68"/>
  <c r="C12" i="90" l="1"/>
  <c r="F9" i="90"/>
  <c r="N43" i="68"/>
  <c r="L102" i="68"/>
  <c r="I19" i="88"/>
  <c r="I85" i="68"/>
  <c r="I84" i="68" s="1"/>
  <c r="I83" i="68" s="1"/>
  <c r="K20" i="88"/>
  <c r="Q51" i="68"/>
  <c r="K51" i="68"/>
  <c r="O51" i="68"/>
  <c r="J56" i="68"/>
  <c r="I56" i="68"/>
  <c r="O20" i="88"/>
  <c r="Q20" i="88"/>
  <c r="P20" i="88"/>
  <c r="I61" i="68"/>
  <c r="I66" i="68"/>
  <c r="I77" i="68"/>
  <c r="I70" i="68"/>
  <c r="O94" i="68"/>
  <c r="K94" i="68"/>
  <c r="Q94" i="68"/>
  <c r="P56" i="68"/>
  <c r="N37" i="68" l="1"/>
  <c r="L17" i="88"/>
  <c r="L15" i="88" s="1"/>
  <c r="F4" i="90"/>
  <c r="N42" i="68"/>
  <c r="L85" i="68"/>
  <c r="L84" i="68" s="1"/>
  <c r="I43" i="68"/>
  <c r="I17" i="88" s="1"/>
  <c r="I15" i="88" s="1"/>
  <c r="Q48" i="68"/>
  <c r="O48" i="68"/>
  <c r="K48" i="68"/>
  <c r="P105" i="68"/>
  <c r="P104" i="68" s="1"/>
  <c r="N105" i="68"/>
  <c r="N104" i="68" s="1"/>
  <c r="M105" i="68"/>
  <c r="J105" i="68"/>
  <c r="I105" i="68"/>
  <c r="J107" i="68"/>
  <c r="J25" i="88"/>
  <c r="J24" i="88" s="1"/>
  <c r="D12" i="90" l="1"/>
  <c r="O38" i="68"/>
  <c r="I37" i="68"/>
  <c r="I42" i="68"/>
  <c r="N118" i="68"/>
  <c r="P108" i="68"/>
  <c r="P107" i="68" s="1"/>
  <c r="N108" i="68"/>
  <c r="N107" i="68" s="1"/>
  <c r="M108" i="68"/>
  <c r="M107" i="68" s="1"/>
  <c r="I12" i="90" l="1"/>
  <c r="H12" i="90"/>
  <c r="I118" i="68"/>
  <c r="C4" i="90"/>
  <c r="N30" i="88"/>
  <c r="L30" i="88"/>
  <c r="F12" i="90" s="1"/>
  <c r="M30" i="88"/>
  <c r="G12" i="90" s="1"/>
  <c r="I30" i="88"/>
  <c r="J30" i="88"/>
  <c r="Q108" i="68"/>
  <c r="O109" i="68"/>
  <c r="Q109" i="68"/>
  <c r="O108" i="68"/>
  <c r="O107" i="68"/>
  <c r="Q107" i="68"/>
  <c r="K108" i="68"/>
  <c r="K107" i="68"/>
  <c r="K109" i="68"/>
  <c r="J4" i="90" l="1"/>
  <c r="J12" i="90"/>
  <c r="M93" i="68"/>
  <c r="M92" i="68" s="1"/>
  <c r="H8" i="90" s="1"/>
  <c r="K97" i="68" l="1"/>
  <c r="O97" i="68"/>
  <c r="P93" i="68"/>
  <c r="P92" i="68" s="1"/>
  <c r="G8" i="90" s="1"/>
  <c r="I102" i="68" l="1"/>
  <c r="I101" i="68" s="1"/>
  <c r="K23" i="88" l="1"/>
  <c r="K22" i="88"/>
  <c r="K21" i="88"/>
  <c r="L105" i="68"/>
  <c r="L104" i="68" s="1"/>
  <c r="J93" i="68"/>
  <c r="J92" i="68" s="1"/>
  <c r="D8" i="90" s="1"/>
  <c r="I8" i="90" l="1"/>
  <c r="L61" i="68"/>
  <c r="L44" i="68"/>
  <c r="L48" i="68"/>
  <c r="L56" i="68"/>
  <c r="M89" i="68"/>
  <c r="K44" i="68"/>
  <c r="L108" i="68"/>
  <c r="L107" i="68" s="1"/>
  <c r="K30" i="88"/>
  <c r="N93" i="68"/>
  <c r="I93" i="68"/>
  <c r="E12" i="90" l="1"/>
  <c r="I119" i="68"/>
  <c r="K93" i="68"/>
  <c r="M88" i="68"/>
  <c r="H7" i="90" s="1"/>
  <c r="N92" i="68"/>
  <c r="F8" i="90" s="1"/>
  <c r="O93" i="68"/>
  <c r="Q93" i="68"/>
  <c r="H5" i="90" l="1"/>
  <c r="J8" i="90"/>
  <c r="K92" i="68"/>
  <c r="O92" i="68"/>
  <c r="Q92" i="68"/>
  <c r="L93" i="68" l="1"/>
  <c r="L92" i="68" s="1"/>
  <c r="E8" i="90" s="1"/>
  <c r="L66" i="68"/>
  <c r="L77" i="68" l="1"/>
  <c r="L70" i="68"/>
  <c r="L43" i="68" l="1"/>
  <c r="Q23" i="88"/>
  <c r="K17" i="88" l="1"/>
  <c r="K15" i="88" s="1"/>
  <c r="L37" i="68"/>
  <c r="E4" i="66"/>
  <c r="L42" i="68"/>
  <c r="C4" i="66"/>
  <c r="M96" i="68"/>
  <c r="O23" i="88"/>
  <c r="M120" i="68" l="1"/>
  <c r="H9" i="90"/>
  <c r="P23" i="88"/>
  <c r="Q97" i="68"/>
  <c r="A3" i="88"/>
  <c r="M101" i="68"/>
  <c r="J102" i="68"/>
  <c r="J101" i="68" s="1"/>
  <c r="N102" i="68"/>
  <c r="P101" i="68"/>
  <c r="M85" i="68"/>
  <c r="N85" i="68"/>
  <c r="P85" i="68"/>
  <c r="P100" i="68" l="1"/>
  <c r="L118" i="68"/>
  <c r="E4" i="90"/>
  <c r="J85" i="68"/>
  <c r="Q101" i="68"/>
  <c r="M84" i="68"/>
  <c r="M83" i="68" s="1"/>
  <c r="O102" i="68"/>
  <c r="J104" i="68"/>
  <c r="J100" i="68" s="1"/>
  <c r="J99" i="68" s="1"/>
  <c r="Q106" i="68"/>
  <c r="K50" i="68"/>
  <c r="K53" i="68"/>
  <c r="Q76" i="68"/>
  <c r="K75" i="68"/>
  <c r="K102" i="68"/>
  <c r="Q79" i="68"/>
  <c r="O103" i="68"/>
  <c r="K101" i="68"/>
  <c r="Q102" i="68"/>
  <c r="K106" i="68"/>
  <c r="K78" i="68"/>
  <c r="N101" i="68"/>
  <c r="Q103" i="68"/>
  <c r="K103" i="68"/>
  <c r="O106" i="68"/>
  <c r="M104" i="68"/>
  <c r="O72" i="68"/>
  <c r="I104" i="68"/>
  <c r="K65" i="68"/>
  <c r="Q67" i="68"/>
  <c r="O74" i="68"/>
  <c r="O82" i="68"/>
  <c r="O86" i="68"/>
  <c r="Q74" i="68"/>
  <c r="O91" i="68"/>
  <c r="Q64" i="68"/>
  <c r="K57" i="68"/>
  <c r="O64" i="68"/>
  <c r="K69" i="68"/>
  <c r="K76" i="68"/>
  <c r="O76" i="68"/>
  <c r="K68" i="68"/>
  <c r="O71" i="68"/>
  <c r="Q58" i="68"/>
  <c r="K60" i="68"/>
  <c r="Q69" i="68"/>
  <c r="O79" i="68"/>
  <c r="K81" i="68"/>
  <c r="Q65" i="68"/>
  <c r="Q91" i="68"/>
  <c r="O57" i="68"/>
  <c r="Q68" i="68"/>
  <c r="Q75" i="68"/>
  <c r="K58" i="68"/>
  <c r="O69" i="68"/>
  <c r="O80" i="68"/>
  <c r="O68" i="68"/>
  <c r="O75" i="68"/>
  <c r="K91" i="68"/>
  <c r="Q71" i="68"/>
  <c r="Q78" i="68"/>
  <c r="O67" i="68"/>
  <c r="K59" i="68"/>
  <c r="O62" i="68"/>
  <c r="K62" i="68"/>
  <c r="K67" i="68"/>
  <c r="Q73" i="68"/>
  <c r="K73" i="68"/>
  <c r="O65" i="68"/>
  <c r="Q60" i="68"/>
  <c r="P61" i="68"/>
  <c r="K63" i="68"/>
  <c r="K72" i="68"/>
  <c r="O73" i="68"/>
  <c r="K74" i="68"/>
  <c r="K86" i="68"/>
  <c r="O78" i="68"/>
  <c r="Q62" i="68"/>
  <c r="Q86" i="68"/>
  <c r="Q59" i="68"/>
  <c r="O60" i="68"/>
  <c r="Q57" i="68"/>
  <c r="O63" i="68"/>
  <c r="K64" i="68"/>
  <c r="Q72" i="68"/>
  <c r="O90" i="68"/>
  <c r="Q82" i="68"/>
  <c r="O58" i="68"/>
  <c r="Q90" i="68"/>
  <c r="K54" i="68"/>
  <c r="O54" i="68"/>
  <c r="K90" i="68"/>
  <c r="Q50" i="68"/>
  <c r="Q63" i="68"/>
  <c r="Q53" i="68"/>
  <c r="Q80" i="68"/>
  <c r="O59" i="68"/>
  <c r="O53" i="68"/>
  <c r="K71" i="68"/>
  <c r="K82" i="68"/>
  <c r="K80" i="68"/>
  <c r="K79" i="68"/>
  <c r="O50" i="68"/>
  <c r="Q54" i="68"/>
  <c r="Q81" i="68"/>
  <c r="O81" i="68"/>
  <c r="M61" i="68"/>
  <c r="J61" i="68"/>
  <c r="O45" i="68"/>
  <c r="H11" i="90" l="1"/>
  <c r="I100" i="68"/>
  <c r="I99" i="68" s="1"/>
  <c r="C11" i="90"/>
  <c r="D11" i="90"/>
  <c r="M100" i="68"/>
  <c r="M99" i="68" s="1"/>
  <c r="N100" i="68"/>
  <c r="N99" i="68" s="1"/>
  <c r="M119" i="68"/>
  <c r="O101" i="68"/>
  <c r="K56" i="68"/>
  <c r="K104" i="68"/>
  <c r="Q44" i="68"/>
  <c r="O44" i="68"/>
  <c r="O105" i="68"/>
  <c r="K105" i="68"/>
  <c r="Q105" i="68"/>
  <c r="Q56" i="68"/>
  <c r="Q61" i="68"/>
  <c r="O56" i="68"/>
  <c r="P84" i="68"/>
  <c r="K61" i="68"/>
  <c r="O61" i="68"/>
  <c r="H13" i="90" l="1"/>
  <c r="D13" i="90"/>
  <c r="C13" i="90"/>
  <c r="I113" i="68"/>
  <c r="I122" i="68" s="1"/>
  <c r="M113" i="68"/>
  <c r="M122" i="68" s="1"/>
  <c r="J113" i="68"/>
  <c r="J122" i="68" s="1"/>
  <c r="K100" i="68"/>
  <c r="Q104" i="68"/>
  <c r="O104" i="68"/>
  <c r="I13" i="90" l="1"/>
  <c r="I11" i="90"/>
  <c r="K99" i="68"/>
  <c r="L96" i="68"/>
  <c r="E9" i="90" s="1"/>
  <c r="O100" i="68"/>
  <c r="P99" i="68"/>
  <c r="Q100" i="68"/>
  <c r="L95" i="68" l="1"/>
  <c r="L120" i="68" s="1"/>
  <c r="K122" i="68"/>
  <c r="K113" i="68"/>
  <c r="Q99" i="68"/>
  <c r="P113" i="68"/>
  <c r="N113" i="68"/>
  <c r="O99" i="68"/>
  <c r="Q113" i="68" l="1"/>
  <c r="P122" i="68"/>
  <c r="Q122" i="68" s="1"/>
  <c r="O113" i="68"/>
  <c r="N122" i="68"/>
  <c r="O122" i="68" s="1"/>
  <c r="B8" i="66"/>
  <c r="I96" i="68" l="1"/>
  <c r="I95" i="68" s="1"/>
  <c r="C9" i="90" l="1"/>
  <c r="K45" i="68"/>
  <c r="Q45" i="68"/>
  <c r="J9" i="90" l="1"/>
  <c r="Q85" i="68"/>
  <c r="J84" i="68"/>
  <c r="K85" i="68"/>
  <c r="N84" i="68"/>
  <c r="O85" i="68"/>
  <c r="F4" i="66" l="1"/>
  <c r="Q84" i="68"/>
  <c r="O84" i="68"/>
  <c r="K84" i="68"/>
  <c r="O30" i="88" l="1"/>
  <c r="Q30" i="88"/>
  <c r="P30" i="88"/>
  <c r="L101" i="68" l="1"/>
  <c r="L100" i="68" l="1"/>
  <c r="L99" i="68" s="1"/>
  <c r="E11" i="90"/>
  <c r="L89" i="68"/>
  <c r="O43" i="68"/>
  <c r="E13" i="90" l="1"/>
  <c r="L113" i="68"/>
  <c r="L122" i="68" s="1"/>
  <c r="L19" i="68"/>
  <c r="L88" i="68"/>
  <c r="L10" i="68"/>
  <c r="D162" i="88"/>
  <c r="A35" i="88"/>
  <c r="H25" i="88"/>
  <c r="H24" i="88"/>
  <c r="L83" i="68" l="1"/>
  <c r="L119" i="68" s="1"/>
  <c r="E7" i="90"/>
  <c r="E5" i="90" s="1"/>
  <c r="M29" i="88"/>
  <c r="G11" i="90" s="1"/>
  <c r="L29" i="88"/>
  <c r="N29" i="88"/>
  <c r="J29" i="88"/>
  <c r="I29" i="88"/>
  <c r="I27" i="88" s="1"/>
  <c r="N28" i="88"/>
  <c r="J28" i="88"/>
  <c r="G13" i="90" l="1"/>
  <c r="N27" i="88"/>
  <c r="N32" i="88" s="1"/>
  <c r="J27" i="88"/>
  <c r="M27" i="88"/>
  <c r="I32" i="88"/>
  <c r="O29" i="88"/>
  <c r="P29" i="88"/>
  <c r="O28" i="88"/>
  <c r="Q29" i="88"/>
  <c r="L28" i="88"/>
  <c r="F11" i="90" s="1"/>
  <c r="F13" i="90" l="1"/>
  <c r="G8" i="66"/>
  <c r="L27" i="88"/>
  <c r="H8" i="66"/>
  <c r="C8" i="66"/>
  <c r="D8" i="66"/>
  <c r="Q28" i="88"/>
  <c r="P28" i="88"/>
  <c r="K29" i="88"/>
  <c r="K28" i="88"/>
  <c r="O12" i="68"/>
  <c r="F8" i="66" l="1"/>
  <c r="K27" i="88"/>
  <c r="E8" i="66" s="1"/>
  <c r="J13" i="90" l="1"/>
  <c r="J11" i="90"/>
  <c r="E9" i="66"/>
  <c r="H9" i="66"/>
  <c r="K32" i="88"/>
  <c r="F9" i="66"/>
  <c r="G9" i="66"/>
  <c r="C9" i="66" l="1"/>
  <c r="J9" i="66" s="1"/>
  <c r="J8" i="66"/>
  <c r="D9" i="66"/>
  <c r="I8" i="66"/>
  <c r="P27" i="88"/>
  <c r="L32" i="88"/>
  <c r="P32" i="88" s="1"/>
  <c r="M32" i="88"/>
  <c r="Q32" i="88" s="1"/>
  <c r="Q27" i="88"/>
  <c r="O27" i="88"/>
  <c r="J32" i="88"/>
  <c r="O32" i="88" s="1"/>
  <c r="I9" i="66" l="1"/>
  <c r="M19" i="88"/>
  <c r="M18" i="88" s="1"/>
  <c r="P21" i="68"/>
  <c r="P22" i="68"/>
  <c r="P23" i="68"/>
  <c r="P24" i="68"/>
  <c r="P25" i="68"/>
  <c r="P26" i="68"/>
  <c r="P13" i="68"/>
  <c r="Q13" i="68" s="1"/>
  <c r="P14" i="68"/>
  <c r="P15" i="68"/>
  <c r="P16" i="68"/>
  <c r="P17" i="68"/>
  <c r="P18" i="68"/>
  <c r="P12" i="68"/>
  <c r="N19" i="88"/>
  <c r="N18" i="88" s="1"/>
  <c r="H5" i="66" s="1"/>
  <c r="L19" i="88"/>
  <c r="L18" i="88" s="1"/>
  <c r="O13" i="68"/>
  <c r="N24" i="88"/>
  <c r="M29" i="68"/>
  <c r="M21" i="68"/>
  <c r="M22" i="68"/>
  <c r="M23" i="68"/>
  <c r="M24" i="68"/>
  <c r="M25" i="68"/>
  <c r="M26" i="68"/>
  <c r="M20" i="68"/>
  <c r="M13" i="68"/>
  <c r="M14" i="68"/>
  <c r="M15" i="68"/>
  <c r="M16" i="68"/>
  <c r="M17" i="68"/>
  <c r="M18" i="68"/>
  <c r="M12" i="68"/>
  <c r="K13" i="68"/>
  <c r="I25" i="88"/>
  <c r="I22" i="88"/>
  <c r="I11" i="68" l="1"/>
  <c r="I10" i="68" s="1"/>
  <c r="I19" i="68"/>
  <c r="M28" i="68"/>
  <c r="J19" i="68"/>
  <c r="K16" i="68"/>
  <c r="N19" i="68"/>
  <c r="M10" i="68"/>
  <c r="N11" i="88" s="1"/>
  <c r="M27" i="68"/>
  <c r="N13" i="88" s="1"/>
  <c r="P19" i="68"/>
  <c r="M12" i="88" s="1"/>
  <c r="C5" i="66"/>
  <c r="I24" i="88"/>
  <c r="P27" i="68"/>
  <c r="P28" i="68"/>
  <c r="Q12" i="68"/>
  <c r="P11" i="68"/>
  <c r="P10" i="68"/>
  <c r="H6" i="66"/>
  <c r="J11" i="68"/>
  <c r="J10" i="68" s="1"/>
  <c r="P19" i="88"/>
  <c r="Q19" i="88"/>
  <c r="J27" i="68"/>
  <c r="K12" i="68"/>
  <c r="K23" i="68"/>
  <c r="K33" i="68"/>
  <c r="K22" i="68"/>
  <c r="K32" i="68"/>
  <c r="O22" i="68"/>
  <c r="O32" i="68"/>
  <c r="Q22" i="68"/>
  <c r="Q32" i="68"/>
  <c r="K17" i="68"/>
  <c r="K26" i="68"/>
  <c r="K29" i="68"/>
  <c r="K30" i="68"/>
  <c r="K20" i="68"/>
  <c r="K31" i="68"/>
  <c r="K25" i="68"/>
  <c r="K35" i="68"/>
  <c r="O25" i="68"/>
  <c r="O35" i="68"/>
  <c r="Q25" i="68"/>
  <c r="Q35" i="68"/>
  <c r="K14" i="68"/>
  <c r="K18" i="68"/>
  <c r="K21" i="68"/>
  <c r="K15" i="68"/>
  <c r="K24" i="68"/>
  <c r="K34" i="68"/>
  <c r="O16" i="68"/>
  <c r="Q16" i="68"/>
  <c r="O15" i="68"/>
  <c r="O24" i="68"/>
  <c r="O34" i="68"/>
  <c r="Q15" i="68"/>
  <c r="Q24" i="68"/>
  <c r="Q34" i="68"/>
  <c r="O14" i="68"/>
  <c r="O23" i="68"/>
  <c r="O33" i="68"/>
  <c r="Q14" i="68"/>
  <c r="Q23" i="68"/>
  <c r="Q33" i="68"/>
  <c r="O18" i="68"/>
  <c r="O20" i="68"/>
  <c r="O21" i="68"/>
  <c r="O31" i="68"/>
  <c r="Q18" i="68"/>
  <c r="Q20" i="68"/>
  <c r="Q21" i="68"/>
  <c r="Q31" i="68"/>
  <c r="O17" i="68"/>
  <c r="O26" i="68"/>
  <c r="O29" i="68"/>
  <c r="O30" i="68"/>
  <c r="Q17" i="68"/>
  <c r="Q26" i="68"/>
  <c r="Q29" i="68"/>
  <c r="Q30" i="68"/>
  <c r="N11" i="68"/>
  <c r="N10" i="68"/>
  <c r="N27" i="68"/>
  <c r="M11" i="68"/>
  <c r="J19" i="88"/>
  <c r="J18" i="88" s="1"/>
  <c r="L25" i="88"/>
  <c r="L24" i="88" s="1"/>
  <c r="O77" i="68"/>
  <c r="P77" i="68"/>
  <c r="Q77" i="68" s="1"/>
  <c r="N28" i="68"/>
  <c r="P96" i="68"/>
  <c r="J66" i="68"/>
  <c r="J28" i="68"/>
  <c r="M66" i="68"/>
  <c r="J70" i="68"/>
  <c r="K70" i="68" s="1"/>
  <c r="J77" i="68"/>
  <c r="K77" i="68" s="1"/>
  <c r="J96" i="68"/>
  <c r="P66" i="68"/>
  <c r="M19" i="68"/>
  <c r="N12" i="88" s="1"/>
  <c r="N89" i="68"/>
  <c r="P22" i="88" s="1"/>
  <c r="I120" i="68"/>
  <c r="P89" i="68"/>
  <c r="Q22" i="88" s="1"/>
  <c r="O66" i="68"/>
  <c r="O70" i="68"/>
  <c r="P70" i="68"/>
  <c r="Q70" i="68" s="1"/>
  <c r="J89" i="68"/>
  <c r="O22" i="88" s="1"/>
  <c r="M77" i="68"/>
  <c r="J95" i="68" l="1"/>
  <c r="I9" i="68"/>
  <c r="D9" i="90"/>
  <c r="M43" i="68"/>
  <c r="J43" i="68"/>
  <c r="J9" i="68"/>
  <c r="J8" i="68" s="1"/>
  <c r="P43" i="68"/>
  <c r="P38" i="68"/>
  <c r="P37" i="68" s="1"/>
  <c r="M9" i="68"/>
  <c r="M8" i="68" s="1"/>
  <c r="C6" i="66"/>
  <c r="I11" i="88"/>
  <c r="Q66" i="68"/>
  <c r="O24" i="88"/>
  <c r="Q25" i="88"/>
  <c r="M24" i="88"/>
  <c r="P9" i="68"/>
  <c r="P8" i="68" s="1"/>
  <c r="K66" i="68"/>
  <c r="I13" i="88"/>
  <c r="I12" i="88"/>
  <c r="P25" i="88"/>
  <c r="O19" i="88"/>
  <c r="K11" i="68"/>
  <c r="J11" i="88"/>
  <c r="K96" i="68"/>
  <c r="J88" i="68"/>
  <c r="D7" i="90" s="1"/>
  <c r="K89" i="68"/>
  <c r="J13" i="88"/>
  <c r="K27" i="68"/>
  <c r="J12" i="88"/>
  <c r="K19" i="68"/>
  <c r="K28" i="68"/>
  <c r="Q19" i="68"/>
  <c r="Q89" i="68"/>
  <c r="O89" i="68"/>
  <c r="P95" i="68"/>
  <c r="Q96" i="68"/>
  <c r="L13" i="88"/>
  <c r="O27" i="68"/>
  <c r="M11" i="88"/>
  <c r="Q28" i="68"/>
  <c r="O28" i="68"/>
  <c r="L11" i="88"/>
  <c r="L12" i="88"/>
  <c r="O19" i="68"/>
  <c r="O96" i="68"/>
  <c r="O11" i="68"/>
  <c r="M13" i="88"/>
  <c r="Q27" i="68"/>
  <c r="N9" i="68"/>
  <c r="N88" i="68"/>
  <c r="P88" i="68"/>
  <c r="M37" i="68" l="1"/>
  <c r="N17" i="88"/>
  <c r="N15" i="88" s="1"/>
  <c r="P42" i="68"/>
  <c r="M17" i="88"/>
  <c r="M15" i="88" s="1"/>
  <c r="J37" i="68"/>
  <c r="D4" i="90" s="1"/>
  <c r="J17" i="88"/>
  <c r="J15" i="88" s="1"/>
  <c r="D5" i="90"/>
  <c r="I9" i="90"/>
  <c r="P83" i="68"/>
  <c r="G7" i="90"/>
  <c r="G5" i="90" s="1"/>
  <c r="N83" i="68"/>
  <c r="F7" i="90"/>
  <c r="I7" i="90"/>
  <c r="G3" i="90"/>
  <c r="D3" i="90"/>
  <c r="H3" i="90"/>
  <c r="G9" i="90"/>
  <c r="C3" i="90"/>
  <c r="C10" i="90" s="1"/>
  <c r="H4" i="90"/>
  <c r="Q38" i="68"/>
  <c r="G4" i="66"/>
  <c r="M42" i="68"/>
  <c r="K38" i="68"/>
  <c r="J42" i="68"/>
  <c r="K42" i="68" s="1"/>
  <c r="R43" i="68"/>
  <c r="Q43" i="68"/>
  <c r="N10" i="88"/>
  <c r="H3" i="66" s="1"/>
  <c r="Q10" i="68"/>
  <c r="M117" i="68"/>
  <c r="I8" i="68"/>
  <c r="I117" i="68" s="1"/>
  <c r="K10" i="68"/>
  <c r="O10" i="68"/>
  <c r="Q24" i="88"/>
  <c r="M10" i="88"/>
  <c r="G3" i="66" s="1"/>
  <c r="L10" i="88"/>
  <c r="J10" i="88"/>
  <c r="J83" i="68"/>
  <c r="K43" i="68"/>
  <c r="Q13" i="88"/>
  <c r="O13" i="88"/>
  <c r="P13" i="88"/>
  <c r="O12" i="88"/>
  <c r="Q12" i="88"/>
  <c r="P12" i="88"/>
  <c r="F6" i="66"/>
  <c r="J6" i="66" s="1"/>
  <c r="P24" i="88"/>
  <c r="O11" i="88"/>
  <c r="Q11" i="88"/>
  <c r="P11" i="88"/>
  <c r="K95" i="68"/>
  <c r="J120" i="68"/>
  <c r="K120" i="68" s="1"/>
  <c r="K88" i="68"/>
  <c r="K9" i="68"/>
  <c r="O25" i="88"/>
  <c r="O88" i="68"/>
  <c r="N8" i="68"/>
  <c r="O9" i="68"/>
  <c r="Q9" i="68"/>
  <c r="N120" i="68"/>
  <c r="O120" i="68" s="1"/>
  <c r="O95" i="68"/>
  <c r="Q88" i="68"/>
  <c r="Q83" i="68" s="1"/>
  <c r="O37" i="68"/>
  <c r="P120" i="68"/>
  <c r="Q120" i="68" s="1"/>
  <c r="Q95" i="68"/>
  <c r="G6" i="66"/>
  <c r="F5" i="90" l="1"/>
  <c r="D10" i="90"/>
  <c r="H10" i="90"/>
  <c r="H14" i="90" s="1"/>
  <c r="H16" i="90" s="1"/>
  <c r="I4" i="90"/>
  <c r="C14" i="90"/>
  <c r="C16" i="90" s="1"/>
  <c r="J7" i="90"/>
  <c r="F3" i="90"/>
  <c r="I3" i="90"/>
  <c r="I33" i="88"/>
  <c r="C3" i="66"/>
  <c r="C7" i="66" s="1"/>
  <c r="I98" i="68"/>
  <c r="H4" i="66"/>
  <c r="G4" i="90"/>
  <c r="Q42" i="68"/>
  <c r="O42" i="68"/>
  <c r="Q37" i="68"/>
  <c r="M98" i="68"/>
  <c r="J118" i="68"/>
  <c r="M26" i="88"/>
  <c r="M118" i="68"/>
  <c r="M121" i="68" s="1"/>
  <c r="M123" i="68" s="1"/>
  <c r="N98" i="68"/>
  <c r="O21" i="88"/>
  <c r="D5" i="66"/>
  <c r="P21" i="88"/>
  <c r="F5" i="66"/>
  <c r="J5" i="66" s="1"/>
  <c r="Q21" i="88"/>
  <c r="G5" i="66"/>
  <c r="K37" i="68"/>
  <c r="O83" i="68"/>
  <c r="Q10" i="88"/>
  <c r="K83" i="68"/>
  <c r="P10" i="88"/>
  <c r="O10" i="88"/>
  <c r="D3" i="66"/>
  <c r="F3" i="66"/>
  <c r="Q17" i="88"/>
  <c r="P17" i="88"/>
  <c r="P98" i="68"/>
  <c r="P118" i="68"/>
  <c r="Q8" i="68"/>
  <c r="P117" i="68"/>
  <c r="O8" i="68"/>
  <c r="N117" i="68"/>
  <c r="K8" i="68"/>
  <c r="J117" i="68"/>
  <c r="N119" i="68"/>
  <c r="J119" i="68"/>
  <c r="P119" i="68"/>
  <c r="F10" i="90" l="1"/>
  <c r="J10" i="90" s="1"/>
  <c r="G10" i="90"/>
  <c r="G14" i="90" s="1"/>
  <c r="G16" i="90" s="1"/>
  <c r="J5" i="90"/>
  <c r="J3" i="90"/>
  <c r="I5" i="90"/>
  <c r="D14" i="90"/>
  <c r="D16" i="90" s="1"/>
  <c r="O117" i="68"/>
  <c r="Q117" i="68"/>
  <c r="K117" i="68"/>
  <c r="D4" i="66"/>
  <c r="O98" i="68"/>
  <c r="Q98" i="68"/>
  <c r="J3" i="66"/>
  <c r="I121" i="68"/>
  <c r="I123" i="68" s="1"/>
  <c r="O17" i="88"/>
  <c r="M33" i="88"/>
  <c r="Q18" i="88"/>
  <c r="P18" i="88"/>
  <c r="O18" i="88"/>
  <c r="I5" i="66"/>
  <c r="J98" i="68"/>
  <c r="K98" i="68" s="1"/>
  <c r="K118" i="68"/>
  <c r="P15" i="88"/>
  <c r="K119" i="68"/>
  <c r="O119" i="68"/>
  <c r="D6" i="66"/>
  <c r="I6" i="66" s="1"/>
  <c r="Q15" i="88"/>
  <c r="Q118" i="68"/>
  <c r="P121" i="68"/>
  <c r="P123" i="68" s="1"/>
  <c r="Q119" i="68"/>
  <c r="O118" i="68"/>
  <c r="N121" i="68"/>
  <c r="N123" i="68" s="1"/>
  <c r="I3" i="66"/>
  <c r="C10" i="66"/>
  <c r="L26" i="88"/>
  <c r="L33" i="88" s="1"/>
  <c r="I10" i="90" l="1"/>
  <c r="F14" i="90"/>
  <c r="J14" i="90" s="1"/>
  <c r="I16" i="90"/>
  <c r="I14" i="90"/>
  <c r="F7" i="66"/>
  <c r="J4" i="66"/>
  <c r="Q33" i="88"/>
  <c r="G7" i="66"/>
  <c r="G10" i="66" s="1"/>
  <c r="O15" i="88"/>
  <c r="D7" i="66"/>
  <c r="D10" i="66" s="1"/>
  <c r="P33" i="88"/>
  <c r="O123" i="68"/>
  <c r="J121" i="68"/>
  <c r="J123" i="68" s="1"/>
  <c r="Q123" i="68"/>
  <c r="J26" i="88"/>
  <c r="J33" i="88" s="1"/>
  <c r="P26" i="88"/>
  <c r="Q121" i="68"/>
  <c r="O121" i="68"/>
  <c r="Q26" i="88"/>
  <c r="K19" i="88"/>
  <c r="K18" i="88" s="1"/>
  <c r="K25" i="88"/>
  <c r="F16" i="90" l="1"/>
  <c r="J16" i="90" s="1"/>
  <c r="K123" i="68"/>
  <c r="F10" i="66"/>
  <c r="J7" i="66"/>
  <c r="K24" i="88"/>
  <c r="O33" i="88"/>
  <c r="I4" i="66"/>
  <c r="K121" i="68"/>
  <c r="E5" i="66"/>
  <c r="I10" i="66"/>
  <c r="O26" i="88"/>
  <c r="I7" i="66"/>
  <c r="L27" i="68"/>
  <c r="K13" i="88" s="1"/>
  <c r="L11" i="68"/>
  <c r="L28" i="68"/>
  <c r="K12" i="88"/>
  <c r="J10" i="66" l="1"/>
  <c r="E6" i="66"/>
  <c r="L9" i="68"/>
  <c r="L8" i="68" s="1"/>
  <c r="K11" i="88"/>
  <c r="K10" i="88" s="1"/>
  <c r="E3" i="66" s="1"/>
  <c r="E3" i="90" l="1"/>
  <c r="E10" i="90" s="1"/>
  <c r="L117" i="68"/>
  <c r="L121" i="68" s="1"/>
  <c r="L123" i="68" s="1"/>
  <c r="L98" i="68"/>
  <c r="N26" i="88"/>
  <c r="N33" i="88" s="1"/>
  <c r="H7" i="66"/>
  <c r="H10" i="66" s="1"/>
  <c r="E14" i="90" l="1"/>
  <c r="K26" i="88"/>
  <c r="K33" i="88" s="1"/>
  <c r="E7" i="66"/>
  <c r="E10" i="66" s="1"/>
  <c r="E16" i="90" l="1"/>
  <c r="Q11" i="68" l="1"/>
</calcChain>
</file>

<file path=xl/sharedStrings.xml><?xml version="1.0" encoding="utf-8"?>
<sst xmlns="http://schemas.openxmlformats.org/spreadsheetml/2006/main" count="1736" uniqueCount="305">
  <si>
    <t>CTA</t>
  </si>
  <si>
    <t>ORD</t>
  </si>
  <si>
    <t>REC</t>
  </si>
  <si>
    <t>DESCRIPCION</t>
  </si>
  <si>
    <t>GASTOS DE PERSONAL</t>
  </si>
  <si>
    <t>PRIMA DE SERVICIO</t>
  </si>
  <si>
    <t>PRIMA DE VACACIONES</t>
  </si>
  <si>
    <t>PRIMA DE NAVIDAD</t>
  </si>
  <si>
    <t>APORTES AL SENA</t>
  </si>
  <si>
    <t>TRANSFERENCIAS CORRIENTES</t>
  </si>
  <si>
    <t>SSF</t>
  </si>
  <si>
    <t>TOTAL FUNCIONAMIENTO</t>
  </si>
  <si>
    <t>TOTAL INVERSION</t>
  </si>
  <si>
    <t>R   E   S   U   M   E   N</t>
  </si>
  <si>
    <t>TOTAL GENERAL</t>
  </si>
  <si>
    <t>CONCEPTO</t>
  </si>
  <si>
    <t>TOTAL PRESUPUESTO</t>
  </si>
  <si>
    <t xml:space="preserve">COMPROMISOS ACUMULADOS 
</t>
  </si>
  <si>
    <t>CDP POR 
COMPROMETER</t>
  </si>
  <si>
    <t>COMPROMISOS</t>
  </si>
  <si>
    <t>OBLIGACIONES</t>
  </si>
  <si>
    <t>PAGOS</t>
  </si>
  <si>
    <t>CSF</t>
  </si>
  <si>
    <t>APROPIACION VIGENTE</t>
  </si>
  <si>
    <t xml:space="preserve"> </t>
  </si>
  <si>
    <t>0800</t>
  </si>
  <si>
    <t>TRANSFERENCIAS</t>
  </si>
  <si>
    <t>DEFENSA DE LOS INTERESES DEL ESTADO EN CONTROVERSIAS INTERNACIONALES</t>
  </si>
  <si>
    <t>Fuente: SIIF-NACIÓN</t>
  </si>
  <si>
    <t>RUBRO</t>
  </si>
  <si>
    <t>INDEMNIZACIÓN POR VACACIONES</t>
  </si>
  <si>
    <t>BONIFICACIÓN ESPECIAL DE RECREACIÓN</t>
  </si>
  <si>
    <t>Año Fiscal:</t>
  </si>
  <si>
    <t/>
  </si>
  <si>
    <t>Vigencia:</t>
  </si>
  <si>
    <t>Actual</t>
  </si>
  <si>
    <t>Periodo:</t>
  </si>
  <si>
    <t>APR. VIGENTE</t>
  </si>
  <si>
    <t>APR. DISPONIBLE</t>
  </si>
  <si>
    <t>COMPROMISO</t>
  </si>
  <si>
    <t>OBLIGACION</t>
  </si>
  <si>
    <t>Apropiaciones Bloqueadas por Ministerio de Hacienda</t>
  </si>
  <si>
    <t>Nación</t>
  </si>
  <si>
    <t>1205</t>
  </si>
  <si>
    <t>C</t>
  </si>
  <si>
    <t>12-10-00</t>
  </si>
  <si>
    <t>11</t>
  </si>
  <si>
    <t>10</t>
  </si>
  <si>
    <t>3</t>
  </si>
  <si>
    <t>A</t>
  </si>
  <si>
    <t>ORDEN PAGO</t>
  </si>
  <si>
    <t>CDP</t>
  </si>
  <si>
    <t>APR BLOQUEADA</t>
  </si>
  <si>
    <t>APR. REDUCIDA</t>
  </si>
  <si>
    <t>APR. ADICIONADA</t>
  </si>
  <si>
    <t>APR. INICIAL</t>
  </si>
  <si>
    <t>SIT</t>
  </si>
  <si>
    <t>FUENTE</t>
  </si>
  <si>
    <t>SUB
ITEM</t>
  </si>
  <si>
    <t>ITEM</t>
  </si>
  <si>
    <t>SOR
ORD</t>
  </si>
  <si>
    <t>OBJ</t>
  </si>
  <si>
    <t>SUB
CTA</t>
  </si>
  <si>
    <t>TIPO</t>
  </si>
  <si>
    <t>NOMBRE UEJ</t>
  </si>
  <si>
    <t>UEJ</t>
  </si>
  <si>
    <t>SUB
ITEM 2</t>
  </si>
  <si>
    <t>01</t>
  </si>
  <si>
    <t>PLANTA DE PERSONAL PERMANENTE</t>
  </si>
  <si>
    <t>SALARIO</t>
  </si>
  <si>
    <t>001</t>
  </si>
  <si>
    <t>FACTORES SALARIALES COMUNES</t>
  </si>
  <si>
    <t>SUELDO BÁSICO</t>
  </si>
  <si>
    <t>003</t>
  </si>
  <si>
    <t>006</t>
  </si>
  <si>
    <t>007</t>
  </si>
  <si>
    <t>008</t>
  </si>
  <si>
    <t>009</t>
  </si>
  <si>
    <t>010</t>
  </si>
  <si>
    <t>PRIMA TÉCNICA SALARIAL</t>
  </si>
  <si>
    <t>BONIFICACIÓN POR SERVICIOS PRESTADOS</t>
  </si>
  <si>
    <t>HORAS EXTRAS, DOMINICALES, FESTIVOS Y RECARGOS</t>
  </si>
  <si>
    <t>CONTRIBUCIONES INHERENTES A LA NÓMINA</t>
  </si>
  <si>
    <t>02</t>
  </si>
  <si>
    <t>002</t>
  </si>
  <si>
    <t>004</t>
  </si>
  <si>
    <t>005</t>
  </si>
  <si>
    <t>APORTES GENERALES AL SISTEMA DE RIESGOS LABORALES</t>
  </si>
  <si>
    <t>APORTES AL ICBF</t>
  </si>
  <si>
    <t>03</t>
  </si>
  <si>
    <t>REMUNERACIONES NO CONSTITUTIVAS DE FACTOR SALARIAL</t>
  </si>
  <si>
    <t>016</t>
  </si>
  <si>
    <t>030</t>
  </si>
  <si>
    <t>PRESTACIONES SOCIALES SEGÚN DEFINICIÓN LEGAL</t>
  </si>
  <si>
    <t>PRIMA TÉCNICA NO SALARIAL</t>
  </si>
  <si>
    <t xml:space="preserve">ESTÍMULOS A LOS EMPLEADOS DEL ESTADO </t>
  </si>
  <si>
    <t>PRIMA DE COORDINACIÓN</t>
  </si>
  <si>
    <t>BONIFICACIÓN DE DIRECCIÓN</t>
  </si>
  <si>
    <t>ADQUISICIÓN DE BIENES  Y SERVICIOS</t>
  </si>
  <si>
    <t>ADQUISICIONES DIFERENTES DE ACTIVOS</t>
  </si>
  <si>
    <t>PRODUCTOS ALIMENTICIOS, BEBIDAS Y TABACO; TEXTILES, PRENDAS DE VESTIR Y PRODUCTOS DE CUERO</t>
  </si>
  <si>
    <t>OTROS BIENES TRANSPORTABLES (EXCEPTO PRODUCTOS METÁLICOS, MAQUINARIA Y EQUIPO)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</si>
  <si>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</si>
  <si>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</si>
  <si>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PARA LA COMUNIDAD, SOCIALES Y PERSONALES</t>
  </si>
  <si>
    <t>VIÁTICOS DE LOS FUNCIONARIOS EN COMISIÓN</t>
  </si>
  <si>
    <t>A ENTIDADES DEL GOBIERNO</t>
  </si>
  <si>
    <t>A ÓRGANOS DEL PGN</t>
  </si>
  <si>
    <t>04</t>
  </si>
  <si>
    <t>PRESTACIONES SOCIALES</t>
  </si>
  <si>
    <t>012</t>
  </si>
  <si>
    <t>PRESTACIONES SOCIALES RELACIONADAS CON EL EMPLEO</t>
  </si>
  <si>
    <t>08</t>
  </si>
  <si>
    <t>GASTOS POR TRIBUTOS, MULTAS, SANCIONES E INTERESES DE MORA</t>
  </si>
  <si>
    <t>CONTRIBUCIONES</t>
  </si>
  <si>
    <t>CUOTA DE FISCALIZACIÓN Y AUDITAJE</t>
  </si>
  <si>
    <t xml:space="preserve">GASTOS POR TRIBUTOS Y MULTAS </t>
  </si>
  <si>
    <t>LICENCIAS DE MATERNIDAD Y PATERNIDAD (NO DE PENSIONES)</t>
  </si>
  <si>
    <t>A-01-01-01</t>
  </si>
  <si>
    <t>A-01-01-02</t>
  </si>
  <si>
    <t>A-01-01-03</t>
  </si>
  <si>
    <t>A-03-03-01-078</t>
  </si>
  <si>
    <t>A-03-04-02-012</t>
  </si>
  <si>
    <t>A-08-04-01</t>
  </si>
  <si>
    <t xml:space="preserve">ADQUISICION DE BIENES Y SERVICIOS   </t>
  </si>
  <si>
    <t>INCAPACIDADES Y LICENCIAS DE MATERNIDAD Y PATERNIDAD (NO DE PENSIONES)</t>
  </si>
  <si>
    <t>A-01-01-01-001-001</t>
  </si>
  <si>
    <t>A-01-01-01-001-003</t>
  </si>
  <si>
    <t>A-01-01-01-001-006</t>
  </si>
  <si>
    <t>A-01-01-01-001-007</t>
  </si>
  <si>
    <t>A-01-01-01-001-008</t>
  </si>
  <si>
    <t>A-01-01-01-001-009</t>
  </si>
  <si>
    <t>A-01-01-01-001-010</t>
  </si>
  <si>
    <t>A-01-01-02-001</t>
  </si>
  <si>
    <t>A-01-01-02-002</t>
  </si>
  <si>
    <t>A-01-01-02-003</t>
  </si>
  <si>
    <t xml:space="preserve">AUXILIO DE CESANTÍAS </t>
  </si>
  <si>
    <t>A-01-01-02-004</t>
  </si>
  <si>
    <t>A-01-01-02-005</t>
  </si>
  <si>
    <t>A-01-01-02-006</t>
  </si>
  <si>
    <t>A-01-01-02-007</t>
  </si>
  <si>
    <t>A-01-01-03-001-001</t>
  </si>
  <si>
    <t>A-01-01-03-001-002</t>
  </si>
  <si>
    <t>A-01-01-03-001-003</t>
  </si>
  <si>
    <t>A-01-01-03-002</t>
  </si>
  <si>
    <t>A-01-01-03-013</t>
  </si>
  <si>
    <t>013</t>
  </si>
  <si>
    <t>ESTÍMULOS A LOS EMPLEADOS DEL ESTADO</t>
  </si>
  <si>
    <t>A-01-01-03-016</t>
  </si>
  <si>
    <t>A-01-01-03-030</t>
  </si>
  <si>
    <t>PRODUCTOS METÁLICOS Y PAQUETES DE SOFTWARE</t>
  </si>
  <si>
    <t>SERVICIOS PRESTADOS A LAS EMPRESAS Y SERVICIOS DE PRODUCCIÓN</t>
  </si>
  <si>
    <t>A-02-02-02-010</t>
  </si>
  <si>
    <t>A-03-04-02-012-001</t>
  </si>
  <si>
    <t>INCAPACIDADES (NO DE PENSIONES)</t>
  </si>
  <si>
    <t>A-03-04-02-012-002</t>
  </si>
  <si>
    <t>A-02-02-01-002-003</t>
  </si>
  <si>
    <t>PRODUCTOS DE MOLINERÍA, ALMIDONES Y PRODUCTOS DERIVADOS DEL ALMIDÓN; OTROS PRODUCTOS ALIMENTICIOS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</si>
  <si>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</si>
  <si>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</si>
  <si>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</si>
  <si>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</si>
  <si>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</si>
  <si>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</si>
  <si>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</si>
  <si>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</si>
  <si>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</si>
  <si>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</si>
  <si>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</si>
  <si>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</si>
  <si>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</si>
  <si>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</si>
  <si>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</si>
  <si>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</si>
  <si>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</si>
  <si>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</si>
  <si>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</si>
  <si>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</si>
  <si>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</si>
  <si>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</si>
  <si>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</si>
  <si>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</si>
  <si>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</si>
  <si>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</si>
  <si>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</si>
  <si>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A-02-02-02-009-006</t>
  </si>
  <si>
    <t>SERVICIOS DE ALCANTARILLADO, RECOLECCIÓN, TRATAMIENTO Y DISPOSICIÓN DE DESECHOS Y OTROS SERVICIOS DE SANEAMIENTO AMBIENTAL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</si>
  <si>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</si>
  <si>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</si>
  <si>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</si>
  <si>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</si>
  <si>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A-02-02-01-004-002</t>
  </si>
  <si>
    <t>PRODUCTOS METÁLICOS ELABORADOS (EXCEPTO MAQUINARIA Y EQUIPO)</t>
  </si>
  <si>
    <t>A-02-02-02-007-001</t>
  </si>
  <si>
    <t>SERVICIOS FINANCIEROS Y SERVICIOS CONEXOS</t>
  </si>
  <si>
    <t>A-02-02-02-009-003</t>
  </si>
  <si>
    <t>SERVICIOS PARA EL CUIDADO DE LA SALUD HUMANA Y SERVICIOS SOCIALES</t>
  </si>
  <si>
    <t>A-02-02-02-009-004</t>
  </si>
  <si>
    <t>IMPLEMENTACION DEL PROGRAMA DE FORTALECIMIENTO DE LA AGENCIA DE DEFENSA JURIDICA A NIVEL NACIONAL</t>
  </si>
  <si>
    <t>DOCUMENTOS DE LINEAMIENTOS TECNICOS</t>
  </si>
  <si>
    <t>FORTALECIMIENTO DE LAS CAPACIDADES DE LA ANDJE PARA MEJORAR LA EFICIENCIA DE LAS ENTIDADES DEL NIVEL NACIONAL QUE HACEN PARTE DEL SISTEMA DE DEFENSA JURIDICA.</t>
  </si>
  <si>
    <t>DOCUMENTOS DE PLANEACION</t>
  </si>
  <si>
    <t>SERVICIO DE INFORMACION EN MATERIA DE DEFENSA JURIDICA</t>
  </si>
  <si>
    <t>FORTALECIMIENTO DE LA GESTION DEL CONOCIMIENTO BASADO EN EVIDENCIA DEL SISTEMA DE DEFENSA JURIDICA DEL ESTADO</t>
  </si>
  <si>
    <t>APROPIACION DISPONIBLE</t>
  </si>
  <si>
    <t>14</t>
  </si>
  <si>
    <t>1205005</t>
  </si>
  <si>
    <t>FORTALECIMIENTO DE LAS CAPACIDADES DE LA ANDJE PARA MEJORAR LA EFICIENCIA DE LAS ENTIDADES DEL NIVEL NACIONAL QUE HACEN PARTE DEL SISTEMA DE DEFENSA JURÍDICA</t>
  </si>
  <si>
    <t>1205007</t>
  </si>
  <si>
    <t>1205008</t>
  </si>
  <si>
    <t xml:space="preserve">CDP POR COMPROMER 
</t>
  </si>
  <si>
    <t>A-02-02-01-004-008</t>
  </si>
  <si>
    <t>APARATOS MÉDICOS, INSTRUMENTOS ÓPTICOS Y DE PRECISIÓN, RELOJES</t>
  </si>
  <si>
    <t>T</t>
  </si>
  <si>
    <t>X</t>
  </si>
  <si>
    <t>W</t>
  </si>
  <si>
    <t>Y</t>
  </si>
  <si>
    <t>AA</t>
  </si>
  <si>
    <t>APORTES A LA SEGURIDAD SOCIAL EN PENSIONES</t>
  </si>
  <si>
    <t>APORTES A LA SEGURIDAD SOCIAL EN SALUD</t>
  </si>
  <si>
    <t>APORTES A CAJAS DE COMPENSACIÓN FAMILIAR</t>
  </si>
  <si>
    <t>VACACIONES</t>
  </si>
  <si>
    <t>APROPIACIÓN VIGENTE</t>
  </si>
  <si>
    <t>APROPIACIÓN  DISPONIBLE</t>
  </si>
  <si>
    <t>TOTAL INVERSIÓN</t>
  </si>
  <si>
    <t>APROPIACIÓN DISPONIBLE</t>
  </si>
  <si>
    <t xml:space="preserve"> % EJECUCIÓN</t>
  </si>
  <si>
    <t xml:space="preserve">REPORTE DE EJECUCIÓN PRESUPUESTAL  </t>
  </si>
  <si>
    <t xml:space="preserve">ADQUISICION DE BIENES Y SERVICIOS </t>
  </si>
  <si>
    <t xml:space="preserve">% COMPROMISOS ACUMULADOS </t>
  </si>
  <si>
    <t>% OBLIGACIONES</t>
  </si>
  <si>
    <t>% PAGOS</t>
  </si>
  <si>
    <t>UNIDAD ADMINISTRATIVA ESPECIAL AGENCIA NACIONAL DE DEFENSA JURÍDICA DEL ESTADO</t>
  </si>
  <si>
    <t>A-02</t>
  </si>
  <si>
    <t>A-02-02-01-003-002</t>
  </si>
  <si>
    <t>PASTA O PULPA, PAPEL Y PRODUCTOS DE PAPEL; IMPRESOS Y ARTÍCULOS RELACIONADOS</t>
  </si>
  <si>
    <t>A-02-02-01-004-006</t>
  </si>
  <si>
    <t>MAQUINARIA Y APARATOS ELÉCTRICOS</t>
  </si>
  <si>
    <t>MATERIALES Y SUMINISTROS</t>
  </si>
  <si>
    <t>A - TOTAL FUNCIONAMIENTO</t>
  </si>
  <si>
    <t>% EJEC OBLIGA.</t>
  </si>
  <si>
    <t>% EJEC PAG.</t>
  </si>
  <si>
    <t>C - TOTAL INVERSION</t>
  </si>
  <si>
    <t>A-03-10</t>
  </si>
  <si>
    <t>SENTENCIAS Y CONCILIACIONES</t>
  </si>
  <si>
    <t>FALLOS INTERNACIONALES</t>
  </si>
  <si>
    <t>FALLOS JUDICIALES, DECISIONES CUASIJUDICIALES Y SOLUCIONES AMISTOSAS SISTEMA INTERAMERICANO DE DERECHOS HUMANOS</t>
  </si>
  <si>
    <t>A-03-10-02-001</t>
  </si>
  <si>
    <t>ADQUISICIÓN DE BIENES Y SERVICIOS - DOCUMENTOS DE INVESTIGACIÓN - DESARROLLO DE ESTRATEGIAS PARA LA GENERACIÓN Y SOCIALIZACIÓN DE LA INFORMACIÓN LEGISLATIVA A NIVEL NACIONAL</t>
  </si>
  <si>
    <t>ADQUISICIÓN DE BIENES Y SERVICIOS - SERVICIOS DE GESTIÓN PARA LA PROTECCIÓN Y SEGURIDAD PERSONAL - MEJORAMIENTO DE LAS CONDICIONES DE SEGURIDAD Y PROTECCIÓN EN LOS DESPLAZAMIENTOS DE LOS REPRESENTANTES A LA CÁMARA.  NACIONAL</t>
  </si>
  <si>
    <t>ADQUISICIÓN DE BIENES Y SERVICIOS - DOCUMENTOS DE LINEAMIENTOS TÉCNICOS - DISEÑO E IMPLEMENTACIÓN DEL SISTEMA NACIONAL DE INFORMACIÓN PARA EL SEGUIMIENTO, MONITOREO Y EVALUACIÓN DE LA POLÍTICA PÚBLICA INTEGRAL EN DERECHOS HUMANOS  NACIONAL</t>
  </si>
  <si>
    <t>AB/AC</t>
  </si>
  <si>
    <t>SECCIÓN: 12-10-00 UNIDAD ADMINISTRATIVA ESPECIAL AGENCIA NACIONAL DE DEFENSA JURIDICA DEL ESTADO</t>
  </si>
  <si>
    <t xml:space="preserve">Coordinador Grupo Gestión Administrativa, Financiera y Documental 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</si>
  <si>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</si>
  <si>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</si>
  <si>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SERVICIOS RECREATIVOS, CULTURALES Y DEPORTIVOS</t>
  </si>
  <si>
    <t>A-03-03-01-999</t>
  </si>
  <si>
    <t>OTRAS TRANSFERENCIAS - DISTRIBUCIÓN PREVIO CONCEPTO DGPPN</t>
  </si>
  <si>
    <t>C-1205-0800-3-20110E</t>
  </si>
  <si>
    <t>20110E</t>
  </si>
  <si>
    <t>2. SEGURIDAD HUMANA Y JUSTICIA SOCIAL / E. SISTEMA NACIONAL DE DEFENSA JURÍDICA DEL ESTADO</t>
  </si>
  <si>
    <t>C-1205-0800-3-20110E-1205005-0201</t>
  </si>
  <si>
    <t>0201</t>
  </si>
  <si>
    <t>C-1205-0800-3-20110E-1205008-0202</t>
  </si>
  <si>
    <t>0202</t>
  </si>
  <si>
    <t>FORTALECIMIENTO DE LA GESTIÓN DEL CONOCIMIENTO BASADO EN EVIDENCIA DEL SISTEMA DE DEFENSA JURÍDICA DEL ESTADO</t>
  </si>
  <si>
    <t>C-1205-0800-3-20110E-1205007-0203</t>
  </si>
  <si>
    <t>0203</t>
  </si>
  <si>
    <t>ADMINISTRACIÓN Y OTROS GASTOS CONTINGENTES</t>
  </si>
  <si>
    <t>SEGURIDAD HUMANA Y JUSTICIA SOCIAL / E. SISTEMA NACIONAL DE DEFENSA JURÍDICA DEL ESTADO</t>
  </si>
  <si>
    <t>% EJEC COMPROMISOS</t>
  </si>
  <si>
    <t>% EJEC OBLIGACIONES</t>
  </si>
  <si>
    <t>TOTAL PRESUPUESTO CON APLAZAMIENTO</t>
  </si>
  <si>
    <t>A-02-02-01-003-003</t>
  </si>
  <si>
    <t>PRODUCTOS DE HORNOS DE COQUE; PRODUCTOS DE REFINACIÓN DE PETRÓLEO Y COMBUSTIBLE NUCLEAR</t>
  </si>
  <si>
    <t xml:space="preserve">TOTAL PRESUPUESTO </t>
  </si>
  <si>
    <t>A-02-02-01-002-006</t>
  </si>
  <si>
    <t>HILADOS E HILOS; TEJIDOS DE FIBRAS TEXTILES INCLUSO AFELPADOS</t>
  </si>
  <si>
    <t>A-02-02-01-002-007</t>
  </si>
  <si>
    <t>ARTÍCULOS TEXTILES (EXCEPTO PRENDAS DE VESTIR)</t>
  </si>
  <si>
    <t>A-02-02-01-003-001</t>
  </si>
  <si>
    <t>PRODUCTOS DE MADERA, CORCHO, CESTERÍA Y ESPARTERÍA</t>
  </si>
  <si>
    <t>A-02-02-01-003-004</t>
  </si>
  <si>
    <t>QUÍMICOS BÁSICOS</t>
  </si>
  <si>
    <t>A-02-02-01-003-008</t>
  </si>
  <si>
    <t>OTROS BIENES TRANSPORTABLES N.C.P.</t>
  </si>
  <si>
    <t>078</t>
  </si>
  <si>
    <t>999</t>
  </si>
  <si>
    <t>A-01-01-04</t>
  </si>
  <si>
    <t>OTROS GASTOS DE PERSONAL - DISTRIBUCIÓN PREVIO CONCEPTO DGPPN</t>
  </si>
  <si>
    <t>A-02-01-01-004-007</t>
  </si>
  <si>
    <t>C-1205-0800-3-20110E-1205007-02</t>
  </si>
  <si>
    <t>ADQUIS. DE BYS - DOCUMENTOS DE PLANEACIÓN - IMPLEMENTACIÓN DEL PROGRAMA DE FORTALECIMIENTO DE LA AGENCIA DE DEFENSA JURÍDICA A NIVEL  NACIONAL</t>
  </si>
  <si>
    <t>C-1205-0800-3-20110E-1205007-0201</t>
  </si>
  <si>
    <t xml:space="preserve">ACTIVOS FIJOS </t>
  </si>
  <si>
    <t xml:space="preserve">MAQUINARIA Y EQUIPO </t>
  </si>
  <si>
    <t>EQUIPO Y APARATOS DE RADIO, TELEVISIÓN Y COMUNICACIÓNES</t>
  </si>
  <si>
    <t>% DE EJECUCIÓN</t>
  </si>
  <si>
    <t>APROPIACIÓN BLOQUEADA</t>
  </si>
  <si>
    <t>Mayo</t>
  </si>
  <si>
    <t>CON CORTE A: 31 DE MAYO  2025</t>
  </si>
  <si>
    <t>ADQUISICIÓN DE ACTIVOS NO FINANCIEROS</t>
  </si>
  <si>
    <t>PAOLA ANDREA ROJAS MENDIETA</t>
  </si>
  <si>
    <t>Coordinador Grupo Gestión Administrativa, Financiera ( 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</si>
</sst>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(* #,##0.00_);_(* \(#,##0.00\);_(* &quot;-&quot;??_);_(@_)"/>
    <numFmt numFmtId="166" formatCode="[$$-2C0A]\ #,##0.00"/>
    <numFmt numFmtId="167" formatCode="&quot;$&quot;#,##0.00"/>
    <numFmt numFmtId="168" formatCode="#,##0.00;[Red]#,##0.00"/>
    <numFmt numFmtId="169" formatCode="\$#,##0.00;\-\$#,##0.00"/>
    <numFmt numFmtId="170" formatCode="_(* #,##0_);_(* \(#,##0\);_(* &quot;-&quot;??_);_(@_)"/>
    <numFmt numFmtId="171" formatCode="[$-1240A]&quot;$&quot;\ #,##0.00;\(&quot;$&quot;\ #,##0.00\)"/>
    <numFmt numFmtId="172" formatCode="&quot;$&quot;\ #,##0.00"/>
    <numFmt numFmtId="173" formatCode="_-* #,##0.00\ _€_-;\-* #,##0.00\ _€_-;_-* &quot;-&quot;??\ _€_-;_-@_-"/>
    <numFmt numFmtId="174" formatCode="00"/>
    <numFmt numFmtId="175" formatCode="000"/>
    <numFmt numFmtId="176" formatCode="[$-1240A]&quot;$&quot;\ #,##0.00;\-&quot;$&quot;\ #,##0.00"/>
    <numFmt numFmtId="177" formatCode="_-* #,##0.00_-;\-* #,##0.00_-;_-* &quot;-&quot;_-;_-@_-"/>
  </numFmts>
  <fonts count="4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 Narrow"/>
      <family val="2"/>
    </font>
    <font>
      <sz val="8"/>
      <color rgb="FF000000"/>
      <name val="Times New Roman"/>
      <family val="1"/>
    </font>
    <font>
      <b/>
      <sz val="9"/>
      <color theme="1"/>
      <name val="Montserrat"/>
    </font>
    <font>
      <sz val="12"/>
      <color theme="1"/>
      <name val="Montserrat"/>
    </font>
    <font>
      <b/>
      <sz val="10"/>
      <color theme="1"/>
      <name val="Montserrat"/>
    </font>
    <font>
      <b/>
      <sz val="8"/>
      <color theme="1"/>
      <name val="Montserrat"/>
    </font>
    <font>
      <sz val="8"/>
      <name val="Montserrat"/>
    </font>
    <font>
      <b/>
      <sz val="8"/>
      <name val="Montserrat"/>
    </font>
    <font>
      <sz val="8"/>
      <color rgb="FF000000"/>
      <name val="Montserrat"/>
    </font>
    <font>
      <sz val="9"/>
      <color theme="1"/>
      <name val="Montserrat"/>
    </font>
    <font>
      <b/>
      <sz val="11"/>
      <name val="Montserrat"/>
    </font>
    <font>
      <sz val="12"/>
      <name val="Montserrat"/>
    </font>
    <font>
      <sz val="8"/>
      <color theme="1"/>
      <name val="Montserrat"/>
    </font>
    <font>
      <sz val="8"/>
      <color theme="0"/>
      <name val="Montserrat"/>
    </font>
    <font>
      <b/>
      <sz val="8"/>
      <color theme="0"/>
      <name val="Montserrat"/>
    </font>
    <font>
      <sz val="8"/>
      <color rgb="FFFF0000"/>
      <name val="Montserrat"/>
    </font>
    <font>
      <b/>
      <sz val="8"/>
      <color rgb="FF000000"/>
      <name val="Montserrat"/>
    </font>
    <font>
      <sz val="9"/>
      <color theme="0"/>
      <name val="Montserrat"/>
    </font>
    <font>
      <b/>
      <sz val="10"/>
      <name val="Montserrat"/>
    </font>
    <font>
      <sz val="12"/>
      <color theme="0"/>
      <name val="Montserrat"/>
    </font>
    <font>
      <b/>
      <sz val="8.5"/>
      <name val="Montserrat"/>
    </font>
    <font>
      <sz val="8.5"/>
      <name val="Montserrat"/>
    </font>
    <font>
      <b/>
      <sz val="14"/>
      <color theme="1"/>
      <name val="Montserrat"/>
    </font>
    <font>
      <sz val="8"/>
      <name val="Franklin Gothic Book"/>
      <family val="2"/>
    </font>
    <font>
      <b/>
      <sz val="8"/>
      <name val="Franklin Gothic Book"/>
      <family val="2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6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  <font>
      <b/>
      <sz val="14"/>
      <name val="Franklin Gothic Book"/>
      <family val="2"/>
    </font>
    <font>
      <b/>
      <sz val="18"/>
      <name val="Franklin Gothic Book"/>
      <family val="2"/>
    </font>
    <font>
      <b/>
      <sz val="16"/>
      <color theme="1"/>
      <name val="Montserrat"/>
    </font>
    <font>
      <sz val="16"/>
      <color theme="1"/>
      <name val="Montserrat"/>
    </font>
    <font>
      <sz val="16"/>
      <color theme="0"/>
      <name val="Montserrat"/>
    </font>
    <font>
      <b/>
      <sz val="9"/>
      <name val="Montserrat"/>
    </font>
    <font>
      <b/>
      <sz val="14"/>
      <name val="Montserrat"/>
    </font>
    <font>
      <b/>
      <sz val="8"/>
      <color rgb="FFFF0000"/>
      <name val="Montserrat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i/>
      <sz val="8.5"/>
      <name val="Montserrat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6">
    <xf numFmtId="0" fontId="0" fillId="0" borderId="0"/>
    <xf numFmtId="165" fontId="2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1" fillId="0" borderId="0"/>
    <xf numFmtId="0" fontId="3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4" fillId="0" borderId="0" applyFill="0">
      <alignment horizontal="center" vertical="center" wrapText="1"/>
    </xf>
    <xf numFmtId="175" fontId="4" fillId="5" borderId="0" applyFill="0" applyProtection="0">
      <alignment horizontal="center" vertical="center"/>
    </xf>
    <xf numFmtId="1" fontId="4" fillId="2" borderId="0" applyFill="0">
      <alignment horizontal="center" vertical="center"/>
    </xf>
    <xf numFmtId="43" fontId="2" fillId="0" borderId="0" applyFont="0" applyFill="0" applyBorder="0" applyAlignment="0" applyProtection="0"/>
  </cellStyleXfs>
  <cellXfs count="391">
    <xf numFmtId="0" fontId="0" fillId="0" borderId="0" xfId="0"/>
    <xf numFmtId="0" fontId="13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0" fontId="7" fillId="2" borderId="0" xfId="0" applyNumberFormat="1" applyFont="1" applyFill="1" applyAlignment="1">
      <alignment horizontal="center" vertical="center" wrapText="1"/>
    </xf>
    <xf numFmtId="175" fontId="10" fillId="2" borderId="3" xfId="13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3" xfId="0" applyFont="1" applyFill="1" applyBorder="1" applyAlignment="1">
      <alignment horizontal="center" vertical="center" wrapText="1" readingOrder="1"/>
    </xf>
    <xf numFmtId="171" fontId="12" fillId="0" borderId="0" xfId="0" applyNumberFormat="1" applyFont="1" applyAlignment="1">
      <alignment horizontal="center" vertical="center" wrapText="1" readingOrder="1"/>
    </xf>
    <xf numFmtId="0" fontId="10" fillId="2" borderId="0" xfId="0" applyFont="1" applyFill="1" applyAlignment="1">
      <alignment horizontal="center" vertical="center" wrapText="1"/>
    </xf>
    <xf numFmtId="172" fontId="10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170" fontId="16" fillId="2" borderId="0" xfId="0" applyNumberFormat="1" applyFont="1" applyFill="1" applyAlignment="1">
      <alignment horizontal="center" vertical="center" wrapText="1"/>
    </xf>
    <xf numFmtId="170" fontId="10" fillId="2" borderId="0" xfId="0" applyNumberFormat="1" applyFont="1" applyFill="1" applyAlignment="1">
      <alignment horizontal="center" vertical="center" wrapText="1"/>
    </xf>
    <xf numFmtId="170" fontId="17" fillId="2" borderId="0" xfId="0" applyNumberFormat="1" applyFont="1" applyFill="1" applyAlignment="1">
      <alignment horizontal="center" vertical="center" wrapText="1"/>
    </xf>
    <xf numFmtId="3" fontId="16" fillId="2" borderId="0" xfId="0" applyNumberFormat="1" applyFont="1" applyFill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 readingOrder="1"/>
    </xf>
    <xf numFmtId="165" fontId="16" fillId="0" borderId="3" xfId="1" applyFont="1" applyFill="1" applyBorder="1" applyAlignment="1">
      <alignment horizontal="center" vertical="center" wrapText="1"/>
    </xf>
    <xf numFmtId="165" fontId="10" fillId="2" borderId="3" xfId="1" applyFont="1" applyFill="1" applyBorder="1" applyAlignment="1">
      <alignment horizontal="center" vertical="center" wrapText="1"/>
    </xf>
    <xf numFmtId="165" fontId="16" fillId="2" borderId="3" xfId="1" applyFont="1" applyFill="1" applyBorder="1" applyAlignment="1">
      <alignment horizontal="center" vertical="center" wrapText="1"/>
    </xf>
    <xf numFmtId="165" fontId="10" fillId="2" borderId="3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 readingOrder="1"/>
    </xf>
    <xf numFmtId="165" fontId="16" fillId="2" borderId="3" xfId="0" applyNumberFormat="1" applyFont="1" applyFill="1" applyBorder="1" applyAlignment="1">
      <alignment horizontal="center" vertical="center" wrapText="1"/>
    </xf>
    <xf numFmtId="10" fontId="16" fillId="2" borderId="10" xfId="5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 wrapText="1"/>
    </xf>
    <xf numFmtId="165" fontId="16" fillId="2" borderId="0" xfId="1" applyFont="1" applyFill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71" fontId="12" fillId="2" borderId="0" xfId="0" applyNumberFormat="1" applyFont="1" applyFill="1" applyAlignment="1">
      <alignment horizontal="center" vertical="center" wrapText="1" readingOrder="1"/>
    </xf>
    <xf numFmtId="0" fontId="10" fillId="2" borderId="3" xfId="0" applyFont="1" applyFill="1" applyBorder="1" applyAlignment="1">
      <alignment horizontal="center" vertical="center" wrapText="1"/>
    </xf>
    <xf numFmtId="165" fontId="11" fillId="2" borderId="3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 readingOrder="1"/>
    </xf>
    <xf numFmtId="49" fontId="12" fillId="0" borderId="2" xfId="0" applyNumberFormat="1" applyFont="1" applyBorder="1" applyAlignment="1">
      <alignment horizontal="center" vertical="center" wrapText="1" readingOrder="1"/>
    </xf>
    <xf numFmtId="49" fontId="12" fillId="0" borderId="3" xfId="0" applyNumberFormat="1" applyFont="1" applyBorder="1" applyAlignment="1">
      <alignment horizontal="center" vertical="center" wrapText="1" readingOrder="1"/>
    </xf>
    <xf numFmtId="10" fontId="9" fillId="2" borderId="0" xfId="0" applyNumberFormat="1" applyFont="1" applyFill="1" applyAlignment="1">
      <alignment horizontal="center" vertical="center" wrapText="1"/>
    </xf>
    <xf numFmtId="170" fontId="18" fillId="2" borderId="0" xfId="0" applyNumberFormat="1" applyFont="1" applyFill="1" applyAlignment="1">
      <alignment horizontal="center" vertical="center" wrapText="1"/>
    </xf>
    <xf numFmtId="1" fontId="10" fillId="2" borderId="3" xfId="3" applyNumberFormat="1" applyFont="1" applyFill="1" applyBorder="1" applyAlignment="1">
      <alignment horizontal="center" vertical="center" wrapText="1"/>
    </xf>
    <xf numFmtId="165" fontId="9" fillId="8" borderId="3" xfId="0" applyNumberFormat="1" applyFont="1" applyFill="1" applyBorder="1" applyAlignment="1">
      <alignment horizontal="center" vertical="center" wrapText="1"/>
    </xf>
    <xf numFmtId="10" fontId="9" fillId="8" borderId="10" xfId="5" applyNumberFormat="1" applyFont="1" applyFill="1" applyBorder="1" applyAlignment="1">
      <alignment horizontal="center" vertical="center" wrapText="1"/>
    </xf>
    <xf numFmtId="49" fontId="16" fillId="2" borderId="3" xfId="7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10" fontId="9" fillId="0" borderId="10" xfId="5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 readingOrder="1"/>
    </xf>
    <xf numFmtId="172" fontId="16" fillId="2" borderId="0" xfId="0" applyNumberFormat="1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70" fontId="16" fillId="2" borderId="0" xfId="1" applyNumberFormat="1" applyFont="1" applyFill="1" applyAlignment="1">
      <alignment horizontal="center" vertical="center" wrapText="1"/>
    </xf>
    <xf numFmtId="10" fontId="16" fillId="2" borderId="0" xfId="5" applyNumberFormat="1" applyFont="1" applyFill="1" applyBorder="1" applyAlignment="1">
      <alignment horizontal="center" vertical="center" wrapText="1"/>
    </xf>
    <xf numFmtId="170" fontId="9" fillId="2" borderId="0" xfId="3" applyNumberFormat="1" applyFont="1" applyFill="1" applyAlignment="1">
      <alignment horizontal="center" vertical="center" wrapText="1"/>
    </xf>
    <xf numFmtId="170" fontId="16" fillId="2" borderId="0" xfId="5" applyNumberFormat="1" applyFont="1" applyFill="1" applyAlignment="1">
      <alignment horizontal="center" vertical="center" wrapText="1"/>
    </xf>
    <xf numFmtId="170" fontId="16" fillId="2" borderId="0" xfId="7" applyNumberFormat="1" applyFont="1" applyFill="1" applyAlignment="1">
      <alignment horizontal="center" vertical="center" wrapText="1"/>
    </xf>
    <xf numFmtId="165" fontId="9" fillId="2" borderId="0" xfId="1" applyFont="1" applyFill="1" applyAlignment="1">
      <alignment horizontal="center" vertical="center" wrapText="1"/>
    </xf>
    <xf numFmtId="165" fontId="9" fillId="2" borderId="0" xfId="0" applyNumberFormat="1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 wrapText="1"/>
    </xf>
    <xf numFmtId="10" fontId="9" fillId="7" borderId="10" xfId="5" applyNumberFormat="1" applyFont="1" applyFill="1" applyBorder="1" applyAlignment="1">
      <alignment horizontal="center" vertical="center" wrapText="1"/>
    </xf>
    <xf numFmtId="165" fontId="9" fillId="7" borderId="3" xfId="1" applyFont="1" applyFill="1" applyBorder="1" applyAlignment="1">
      <alignment horizontal="center" vertical="center" wrapText="1"/>
    </xf>
    <xf numFmtId="170" fontId="9" fillId="2" borderId="0" xfId="0" applyNumberFormat="1" applyFont="1" applyFill="1" applyAlignment="1">
      <alignment horizontal="center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center" vertical="center" wrapText="1" readingOrder="1"/>
    </xf>
    <xf numFmtId="165" fontId="9" fillId="7" borderId="3" xfId="0" applyNumberFormat="1" applyFont="1" applyFill="1" applyBorder="1" applyAlignment="1">
      <alignment horizontal="center" vertical="center" wrapText="1"/>
    </xf>
    <xf numFmtId="170" fontId="16" fillId="2" borderId="3" xfId="0" applyNumberFormat="1" applyFont="1" applyFill="1" applyBorder="1" applyAlignment="1">
      <alignment horizontal="left" vertical="center" wrapText="1"/>
    </xf>
    <xf numFmtId="2" fontId="9" fillId="7" borderId="3" xfId="0" applyNumberFormat="1" applyFont="1" applyFill="1" applyBorder="1" applyAlignment="1">
      <alignment horizontal="left" vertical="center" wrapText="1"/>
    </xf>
    <xf numFmtId="1" fontId="10" fillId="2" borderId="3" xfId="3" applyNumberFormat="1" applyFont="1" applyFill="1" applyBorder="1" applyAlignment="1">
      <alignment horizontal="left" vertical="center" wrapText="1"/>
    </xf>
    <xf numFmtId="174" fontId="11" fillId="7" borderId="9" xfId="12" applyFont="1" applyFill="1" applyBorder="1" applyAlignment="1">
      <alignment vertical="center" wrapText="1"/>
    </xf>
    <xf numFmtId="174" fontId="11" fillId="7" borderId="7" xfId="12" applyFont="1" applyFill="1" applyBorder="1" applyAlignment="1">
      <alignment vertical="center" wrapText="1"/>
    </xf>
    <xf numFmtId="174" fontId="11" fillId="7" borderId="9" xfId="12" applyFont="1" applyFill="1" applyBorder="1">
      <alignment horizontal="center" vertical="center" wrapText="1"/>
    </xf>
    <xf numFmtId="0" fontId="9" fillId="7" borderId="9" xfId="0" applyFont="1" applyFill="1" applyBorder="1" applyAlignment="1">
      <alignment vertical="center" wrapText="1"/>
    </xf>
    <xf numFmtId="0" fontId="9" fillId="7" borderId="7" xfId="0" applyFont="1" applyFill="1" applyBorder="1" applyAlignment="1">
      <alignment vertical="center" wrapText="1"/>
    </xf>
    <xf numFmtId="49" fontId="9" fillId="7" borderId="9" xfId="0" applyNumberFormat="1" applyFont="1" applyFill="1" applyBorder="1" applyAlignment="1">
      <alignment vertical="center" wrapText="1"/>
    </xf>
    <xf numFmtId="49" fontId="9" fillId="7" borderId="7" xfId="0" applyNumberFormat="1" applyFont="1" applyFill="1" applyBorder="1" applyAlignment="1">
      <alignment vertical="center" wrapText="1"/>
    </xf>
    <xf numFmtId="174" fontId="11" fillId="7" borderId="17" xfId="12" applyFont="1" applyFill="1" applyBorder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49" fontId="9" fillId="7" borderId="1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65" fontId="9" fillId="0" borderId="0" xfId="0" applyNumberFormat="1" applyFont="1" applyAlignment="1">
      <alignment horizontal="center" vertical="center" wrapText="1"/>
    </xf>
    <xf numFmtId="165" fontId="9" fillId="0" borderId="0" xfId="1" applyFont="1" applyFill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10" fontId="9" fillId="0" borderId="0" xfId="5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10" fontId="16" fillId="2" borderId="0" xfId="5" applyNumberFormat="1" applyFont="1" applyFill="1" applyAlignment="1">
      <alignment horizontal="center" vertical="center" wrapText="1"/>
    </xf>
    <xf numFmtId="10" fontId="19" fillId="2" borderId="0" xfId="5" applyNumberFormat="1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2" borderId="15" xfId="0" applyFont="1" applyFill="1" applyBorder="1" applyAlignment="1">
      <alignment horizontal="left" vertical="center" wrapText="1"/>
    </xf>
    <xf numFmtId="41" fontId="25" fillId="2" borderId="15" xfId="7" applyFont="1" applyFill="1" applyBorder="1" applyAlignment="1">
      <alignment horizontal="center" vertical="center" wrapText="1"/>
    </xf>
    <xf numFmtId="10" fontId="25" fillId="2" borderId="15" xfId="5" applyNumberFormat="1" applyFont="1" applyFill="1" applyBorder="1" applyAlignment="1">
      <alignment horizontal="center" vertical="center" wrapText="1"/>
    </xf>
    <xf numFmtId="10" fontId="24" fillId="0" borderId="0" xfId="5" applyNumberFormat="1" applyFont="1" applyAlignment="1">
      <alignment horizontal="center" vertical="center" wrapText="1"/>
    </xf>
    <xf numFmtId="2" fontId="25" fillId="2" borderId="15" xfId="0" applyNumberFormat="1" applyFont="1" applyFill="1" applyBorder="1" applyAlignment="1">
      <alignment horizontal="left" vertical="center" wrapText="1"/>
    </xf>
    <xf numFmtId="10" fontId="24" fillId="2" borderId="15" xfId="5" applyNumberFormat="1" applyFont="1" applyFill="1" applyBorder="1" applyAlignment="1">
      <alignment horizontal="center" vertical="center" wrapText="1"/>
    </xf>
    <xf numFmtId="0" fontId="24" fillId="15" borderId="15" xfId="0" applyFont="1" applyFill="1" applyBorder="1" applyAlignment="1">
      <alignment horizontal="right" vertical="center" wrapText="1"/>
    </xf>
    <xf numFmtId="41" fontId="24" fillId="15" borderId="15" xfId="7" applyFont="1" applyFill="1" applyBorder="1" applyAlignment="1">
      <alignment horizontal="center" vertical="center" wrapText="1"/>
    </xf>
    <xf numFmtId="10" fontId="24" fillId="15" borderId="15" xfId="5" applyNumberFormat="1" applyFont="1" applyFill="1" applyBorder="1" applyAlignment="1">
      <alignment horizontal="center" vertical="center" wrapText="1"/>
    </xf>
    <xf numFmtId="0" fontId="22" fillId="14" borderId="15" xfId="0" applyFont="1" applyFill="1" applyBorder="1" applyAlignment="1">
      <alignment horizontal="right" vertical="center" wrapText="1"/>
    </xf>
    <xf numFmtId="41" fontId="22" fillId="14" borderId="15" xfId="7" applyFont="1" applyFill="1" applyBorder="1" applyAlignment="1">
      <alignment horizontal="center" vertical="center" wrapText="1"/>
    </xf>
    <xf numFmtId="10" fontId="14" fillId="4" borderId="15" xfId="7" applyNumberFormat="1" applyFont="1" applyFill="1" applyBorder="1" applyAlignment="1">
      <alignment horizontal="center" vertical="center" wrapText="1"/>
    </xf>
    <xf numFmtId="9" fontId="13" fillId="2" borderId="0" xfId="5" applyFont="1" applyFill="1" applyAlignment="1">
      <alignment horizontal="center" vertical="center" wrapText="1"/>
    </xf>
    <xf numFmtId="0" fontId="22" fillId="14" borderId="1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41" fontId="11" fillId="2" borderId="0" xfId="7" applyFont="1" applyFill="1" applyBorder="1" applyAlignment="1">
      <alignment horizontal="center" vertical="center" wrapText="1"/>
    </xf>
    <xf numFmtId="41" fontId="24" fillId="0" borderId="0" xfId="0" applyNumberFormat="1" applyFont="1" applyAlignment="1">
      <alignment horizontal="center" vertical="center" wrapText="1"/>
    </xf>
    <xf numFmtId="9" fontId="16" fillId="2" borderId="10" xfId="5" applyFont="1" applyFill="1" applyBorder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0" fontId="27" fillId="0" borderId="0" xfId="3" applyFont="1" applyAlignment="1">
      <alignment horizontal="left" vertical="center" wrapText="1"/>
    </xf>
    <xf numFmtId="0" fontId="27" fillId="2" borderId="0" xfId="3" applyFont="1" applyFill="1" applyAlignment="1">
      <alignment horizontal="center" vertical="center" wrapText="1"/>
    </xf>
    <xf numFmtId="3" fontId="27" fillId="2" borderId="0" xfId="3" applyNumberFormat="1" applyFont="1" applyFill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center" vertical="center" wrapText="1"/>
    </xf>
    <xf numFmtId="41" fontId="27" fillId="0" borderId="0" xfId="7" applyFont="1" applyBorder="1" applyAlignment="1">
      <alignment horizontal="center" vertical="center" wrapText="1"/>
    </xf>
    <xf numFmtId="0" fontId="27" fillId="0" borderId="8" xfId="3" applyFont="1" applyBorder="1" applyAlignment="1">
      <alignment horizontal="center" vertical="center" wrapText="1"/>
    </xf>
    <xf numFmtId="41" fontId="27" fillId="0" borderId="0" xfId="7" applyFont="1" applyFill="1" applyBorder="1" applyAlignment="1">
      <alignment horizontal="center" vertical="center" wrapText="1"/>
    </xf>
    <xf numFmtId="1" fontId="28" fillId="8" borderId="3" xfId="3" applyNumberFormat="1" applyFont="1" applyFill="1" applyBorder="1" applyAlignment="1">
      <alignment horizontal="center" vertical="center" wrapText="1"/>
    </xf>
    <xf numFmtId="0" fontId="28" fillId="8" borderId="3" xfId="0" applyFont="1" applyFill="1" applyBorder="1" applyAlignment="1">
      <alignment horizontal="left" vertical="center" wrapText="1" readingOrder="1"/>
    </xf>
    <xf numFmtId="177" fontId="28" fillId="8" borderId="3" xfId="7" applyNumberFormat="1" applyFont="1" applyFill="1" applyBorder="1" applyAlignment="1">
      <alignment horizontal="center" vertical="center" wrapText="1"/>
    </xf>
    <xf numFmtId="9" fontId="28" fillId="8" borderId="3" xfId="5" applyFont="1" applyFill="1" applyBorder="1" applyAlignment="1">
      <alignment horizontal="center" vertical="center" wrapText="1"/>
    </xf>
    <xf numFmtId="9" fontId="28" fillId="8" borderId="10" xfId="5" applyFont="1" applyFill="1" applyBorder="1" applyAlignment="1">
      <alignment horizontal="center" vertical="center" wrapText="1"/>
    </xf>
    <xf numFmtId="41" fontId="28" fillId="0" borderId="0" xfId="7" applyFont="1" applyFill="1" applyBorder="1" applyAlignment="1">
      <alignment horizontal="center" vertical="center" wrapText="1"/>
    </xf>
    <xf numFmtId="0" fontId="28" fillId="0" borderId="0" xfId="3" applyFont="1" applyAlignment="1">
      <alignment horizontal="center" vertical="center" wrapText="1"/>
    </xf>
    <xf numFmtId="0" fontId="28" fillId="0" borderId="8" xfId="3" applyFont="1" applyBorder="1" applyAlignment="1">
      <alignment horizontal="center" vertical="center" wrapText="1"/>
    </xf>
    <xf numFmtId="0" fontId="28" fillId="9" borderId="3" xfId="0" applyFont="1" applyFill="1" applyBorder="1" applyAlignment="1">
      <alignment horizontal="left" vertical="center" wrapText="1" readingOrder="1"/>
    </xf>
    <xf numFmtId="177" fontId="28" fillId="9" borderId="3" xfId="7" applyNumberFormat="1" applyFont="1" applyFill="1" applyBorder="1" applyAlignment="1">
      <alignment horizontal="center" vertical="center" wrapText="1"/>
    </xf>
    <xf numFmtId="9" fontId="28" fillId="9" borderId="3" xfId="5" applyFont="1" applyFill="1" applyBorder="1" applyAlignment="1">
      <alignment horizontal="center" vertical="center" wrapText="1"/>
    </xf>
    <xf numFmtId="9" fontId="28" fillId="9" borderId="10" xfId="5" applyFont="1" applyFill="1" applyBorder="1" applyAlignment="1">
      <alignment horizontal="center" vertical="center" wrapText="1"/>
    </xf>
    <xf numFmtId="3" fontId="27" fillId="0" borderId="0" xfId="3" applyNumberFormat="1" applyFont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 readingOrder="1"/>
    </xf>
    <xf numFmtId="0" fontId="28" fillId="7" borderId="3" xfId="0" applyFont="1" applyFill="1" applyBorder="1" applyAlignment="1">
      <alignment horizontal="center" vertical="center" wrapText="1" readingOrder="1"/>
    </xf>
    <xf numFmtId="0" fontId="28" fillId="7" borderId="3" xfId="0" applyFont="1" applyFill="1" applyBorder="1" applyAlignment="1">
      <alignment horizontal="left" vertical="center" wrapText="1" readingOrder="1"/>
    </xf>
    <xf numFmtId="177" fontId="28" fillId="7" borderId="3" xfId="7" applyNumberFormat="1" applyFont="1" applyFill="1" applyBorder="1" applyAlignment="1">
      <alignment horizontal="center" vertical="center" wrapText="1"/>
    </xf>
    <xf numFmtId="9" fontId="28" fillId="7" borderId="3" xfId="5" applyFont="1" applyFill="1" applyBorder="1" applyAlignment="1">
      <alignment horizontal="center" vertical="center" wrapText="1"/>
    </xf>
    <xf numFmtId="9" fontId="28" fillId="7" borderId="10" xfId="5" applyFont="1" applyFill="1" applyBorder="1" applyAlignment="1">
      <alignment horizontal="center" vertical="center" wrapText="1"/>
    </xf>
    <xf numFmtId="175" fontId="28" fillId="2" borderId="3" xfId="13" applyFont="1" applyFill="1" applyBorder="1" applyAlignment="1">
      <alignment horizontal="center" vertical="center" wrapText="1"/>
    </xf>
    <xf numFmtId="1" fontId="28" fillId="0" borderId="3" xfId="3" applyNumberFormat="1" applyFont="1" applyBorder="1" applyAlignment="1">
      <alignment horizontal="center" vertical="center" wrapText="1"/>
    </xf>
    <xf numFmtId="1" fontId="28" fillId="2" borderId="3" xfId="14" applyFont="1" applyFill="1" applyBorder="1" applyAlignment="1">
      <alignment horizontal="left" vertical="center" wrapText="1"/>
    </xf>
    <xf numFmtId="177" fontId="28" fillId="2" borderId="3" xfId="7" applyNumberFormat="1" applyFont="1" applyFill="1" applyBorder="1" applyAlignment="1">
      <alignment horizontal="center" vertical="center" wrapText="1"/>
    </xf>
    <xf numFmtId="9" fontId="28" fillId="0" borderId="3" xfId="5" applyFont="1" applyFill="1" applyBorder="1" applyAlignment="1">
      <alignment horizontal="center" vertical="center" wrapText="1"/>
    </xf>
    <xf numFmtId="9" fontId="28" fillId="2" borderId="3" xfId="5" applyFont="1" applyFill="1" applyBorder="1" applyAlignment="1">
      <alignment horizontal="center" vertical="center" wrapText="1"/>
    </xf>
    <xf numFmtId="9" fontId="28" fillId="2" borderId="10" xfId="5" applyFont="1" applyFill="1" applyBorder="1" applyAlignment="1">
      <alignment horizontal="center" vertical="center" wrapText="1"/>
    </xf>
    <xf numFmtId="175" fontId="27" fillId="2" borderId="3" xfId="13" applyFont="1" applyFill="1" applyBorder="1" applyAlignment="1">
      <alignment horizontal="center" vertical="center" wrapText="1"/>
    </xf>
    <xf numFmtId="49" fontId="27" fillId="2" borderId="3" xfId="0" applyNumberFormat="1" applyFont="1" applyFill="1" applyBorder="1" applyAlignment="1">
      <alignment horizontal="left" vertical="center" wrapText="1"/>
    </xf>
    <xf numFmtId="177" fontId="27" fillId="2" borderId="3" xfId="7" applyNumberFormat="1" applyFont="1" applyFill="1" applyBorder="1" applyAlignment="1">
      <alignment horizontal="center" vertical="center" wrapText="1" readingOrder="1"/>
    </xf>
    <xf numFmtId="177" fontId="27" fillId="2" borderId="3" xfId="7" applyNumberFormat="1" applyFont="1" applyFill="1" applyBorder="1" applyAlignment="1">
      <alignment horizontal="center" vertical="center" wrapText="1"/>
    </xf>
    <xf numFmtId="9" fontId="27" fillId="2" borderId="3" xfId="5" applyFont="1" applyFill="1" applyBorder="1" applyAlignment="1">
      <alignment horizontal="center" vertical="center" wrapText="1"/>
    </xf>
    <xf numFmtId="9" fontId="27" fillId="2" borderId="10" xfId="5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 readingOrder="1"/>
    </xf>
    <xf numFmtId="41" fontId="28" fillId="0" borderId="0" xfId="7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 readingOrder="1"/>
    </xf>
    <xf numFmtId="49" fontId="28" fillId="2" borderId="3" xfId="0" applyNumberFormat="1" applyFont="1" applyFill="1" applyBorder="1" applyAlignment="1">
      <alignment horizontal="left" vertical="center" wrapText="1"/>
    </xf>
    <xf numFmtId="177" fontId="28" fillId="0" borderId="3" xfId="7" applyNumberFormat="1" applyFont="1" applyFill="1" applyBorder="1" applyAlignment="1">
      <alignment horizontal="center" vertical="center" wrapText="1"/>
    </xf>
    <xf numFmtId="9" fontId="28" fillId="0" borderId="10" xfId="5" applyFont="1" applyFill="1" applyBorder="1" applyAlignment="1">
      <alignment horizontal="center" vertical="center" wrapText="1"/>
    </xf>
    <xf numFmtId="177" fontId="27" fillId="0" borderId="3" xfId="7" applyNumberFormat="1" applyFont="1" applyFill="1" applyBorder="1" applyAlignment="1">
      <alignment horizontal="center" vertical="center" wrapText="1" readingOrder="1"/>
    </xf>
    <xf numFmtId="0" fontId="27" fillId="7" borderId="3" xfId="0" applyFont="1" applyFill="1" applyBorder="1" applyAlignment="1">
      <alignment horizontal="center" vertical="center" wrapText="1" readingOrder="1"/>
    </xf>
    <xf numFmtId="177" fontId="28" fillId="7" borderId="3" xfId="7" applyNumberFormat="1" applyFont="1" applyFill="1" applyBorder="1" applyAlignment="1">
      <alignment horizontal="center" vertical="center" wrapText="1" readingOrder="1"/>
    </xf>
    <xf numFmtId="9" fontId="28" fillId="7" borderId="3" xfId="5" applyFont="1" applyFill="1" applyBorder="1" applyAlignment="1">
      <alignment horizontal="center" vertical="center" wrapText="1" readingOrder="1"/>
    </xf>
    <xf numFmtId="9" fontId="28" fillId="7" borderId="10" xfId="5" applyFont="1" applyFill="1" applyBorder="1" applyAlignment="1">
      <alignment horizontal="center" vertical="center" wrapText="1" readingOrder="1"/>
    </xf>
    <xf numFmtId="0" fontId="28" fillId="0" borderId="3" xfId="0" applyFont="1" applyBorder="1" applyAlignment="1">
      <alignment horizontal="left" vertical="center" wrapText="1" readingOrder="1"/>
    </xf>
    <xf numFmtId="9" fontId="28" fillId="0" borderId="3" xfId="5" applyFont="1" applyFill="1" applyBorder="1" applyAlignment="1">
      <alignment horizontal="center" vertical="center" wrapText="1" readingOrder="1"/>
    </xf>
    <xf numFmtId="9" fontId="28" fillId="0" borderId="10" xfId="5" applyFont="1" applyFill="1" applyBorder="1" applyAlignment="1">
      <alignment horizontal="center" vertical="center" wrapText="1" readingOrder="1"/>
    </xf>
    <xf numFmtId="0" fontId="27" fillId="0" borderId="3" xfId="0" applyFont="1" applyBorder="1" applyAlignment="1">
      <alignment horizontal="left" vertical="center" wrapText="1" readingOrder="1"/>
    </xf>
    <xf numFmtId="9" fontId="27" fillId="0" borderId="3" xfId="5" applyFont="1" applyFill="1" applyBorder="1" applyAlignment="1">
      <alignment horizontal="center" vertical="center" wrapText="1" readingOrder="1"/>
    </xf>
    <xf numFmtId="9" fontId="27" fillId="0" borderId="10" xfId="5" applyFont="1" applyFill="1" applyBorder="1" applyAlignment="1">
      <alignment horizontal="center" vertical="center" wrapText="1" readingOrder="1"/>
    </xf>
    <xf numFmtId="1" fontId="27" fillId="0" borderId="3" xfId="3" applyNumberFormat="1" applyFont="1" applyBorder="1" applyAlignment="1">
      <alignment horizontal="center" vertical="center" wrapText="1"/>
    </xf>
    <xf numFmtId="0" fontId="27" fillId="7" borderId="3" xfId="0" applyFont="1" applyFill="1" applyBorder="1" applyAlignment="1">
      <alignment horizontal="center" vertical="center" wrapText="1"/>
    </xf>
    <xf numFmtId="1" fontId="28" fillId="7" borderId="3" xfId="3" applyNumberFormat="1" applyFont="1" applyFill="1" applyBorder="1" applyAlignment="1">
      <alignment horizontal="center" vertical="center" wrapText="1"/>
    </xf>
    <xf numFmtId="3" fontId="28" fillId="0" borderId="0" xfId="3" applyNumberFormat="1" applyFont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177" fontId="28" fillId="0" borderId="3" xfId="7" applyNumberFormat="1" applyFont="1" applyFill="1" applyBorder="1" applyAlignment="1">
      <alignment horizontal="center" vertical="center" wrapText="1" readingOrder="1"/>
    </xf>
    <xf numFmtId="175" fontId="28" fillId="0" borderId="3" xfId="13" applyFont="1" applyFill="1" applyBorder="1" applyAlignment="1">
      <alignment horizontal="center" vertical="center" wrapText="1"/>
    </xf>
    <xf numFmtId="175" fontId="27" fillId="0" borderId="3" xfId="13" applyFont="1" applyFill="1" applyBorder="1" applyAlignment="1">
      <alignment horizontal="center" vertical="center" wrapText="1"/>
    </xf>
    <xf numFmtId="164" fontId="27" fillId="0" borderId="0" xfId="3" applyNumberFormat="1" applyFont="1" applyAlignment="1">
      <alignment horizontal="center" vertical="center" wrapText="1"/>
    </xf>
    <xf numFmtId="2" fontId="28" fillId="0" borderId="3" xfId="3" applyNumberFormat="1" applyFont="1" applyBorder="1" applyAlignment="1">
      <alignment horizontal="left" vertical="center" wrapText="1"/>
    </xf>
    <xf numFmtId="41" fontId="28" fillId="2" borderId="0" xfId="7" applyFont="1" applyFill="1" applyBorder="1" applyAlignment="1">
      <alignment horizontal="center" vertical="center" wrapText="1"/>
    </xf>
    <xf numFmtId="0" fontId="28" fillId="7" borderId="3" xfId="0" applyFont="1" applyFill="1" applyBorder="1" applyAlignment="1">
      <alignment horizontal="center" vertical="center" wrapText="1"/>
    </xf>
    <xf numFmtId="166" fontId="28" fillId="2" borderId="0" xfId="0" applyNumberFormat="1" applyFont="1" applyFill="1" applyAlignment="1">
      <alignment horizontal="center" vertical="center" wrapText="1"/>
    </xf>
    <xf numFmtId="166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169" fontId="28" fillId="0" borderId="0" xfId="0" applyNumberFormat="1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 readingOrder="1"/>
    </xf>
    <xf numFmtId="0" fontId="28" fillId="0" borderId="3" xfId="0" quotePrefix="1" applyFont="1" applyBorder="1" applyAlignment="1">
      <alignment horizontal="center" vertical="center" wrapText="1"/>
    </xf>
    <xf numFmtId="41" fontId="27" fillId="2" borderId="0" xfId="7" applyFont="1" applyFill="1" applyBorder="1" applyAlignment="1">
      <alignment horizontal="center" vertical="center" wrapText="1"/>
    </xf>
    <xf numFmtId="0" fontId="27" fillId="2" borderId="8" xfId="3" applyFont="1" applyFill="1" applyBorder="1" applyAlignment="1">
      <alignment horizontal="center" vertical="center" wrapText="1"/>
    </xf>
    <xf numFmtId="0" fontId="28" fillId="7" borderId="3" xfId="0" quotePrefix="1" applyFont="1" applyFill="1" applyBorder="1" applyAlignment="1">
      <alignment horizontal="center" vertical="center" wrapText="1"/>
    </xf>
    <xf numFmtId="0" fontId="28" fillId="2" borderId="0" xfId="3" applyFont="1" applyFill="1" applyAlignment="1">
      <alignment horizontal="center" vertical="center" wrapText="1"/>
    </xf>
    <xf numFmtId="0" fontId="28" fillId="2" borderId="8" xfId="3" applyFont="1" applyFill="1" applyBorder="1" applyAlignment="1">
      <alignment horizontal="center" vertical="center" wrapText="1"/>
    </xf>
    <xf numFmtId="49" fontId="28" fillId="0" borderId="3" xfId="0" applyNumberFormat="1" applyFont="1" applyBorder="1" applyAlignment="1">
      <alignment horizontal="center" vertical="center" wrapText="1"/>
    </xf>
    <xf numFmtId="49" fontId="28" fillId="7" borderId="3" xfId="0" applyNumberFormat="1" applyFont="1" applyFill="1" applyBorder="1" applyAlignment="1">
      <alignment horizontal="center" vertical="center" wrapText="1"/>
    </xf>
    <xf numFmtId="49" fontId="28" fillId="7" borderId="3" xfId="0" applyNumberFormat="1" applyFont="1" applyFill="1" applyBorder="1" applyAlignment="1">
      <alignment horizontal="left" vertical="center" wrapText="1"/>
    </xf>
    <xf numFmtId="49" fontId="27" fillId="2" borderId="3" xfId="0" applyNumberFormat="1" applyFont="1" applyFill="1" applyBorder="1" applyAlignment="1">
      <alignment horizontal="center" vertical="center" wrapText="1"/>
    </xf>
    <xf numFmtId="10" fontId="27" fillId="0" borderId="3" xfId="5" applyNumberFormat="1" applyFont="1" applyFill="1" applyBorder="1" applyAlignment="1">
      <alignment horizontal="center" vertical="center" wrapText="1" readingOrder="1"/>
    </xf>
    <xf numFmtId="10" fontId="27" fillId="0" borderId="10" xfId="5" applyNumberFormat="1" applyFont="1" applyFill="1" applyBorder="1" applyAlignment="1">
      <alignment horizontal="center" vertical="center" wrapText="1" readingOrder="1"/>
    </xf>
    <xf numFmtId="2" fontId="29" fillId="10" borderId="3" xfId="3" applyNumberFormat="1" applyFont="1" applyFill="1" applyBorder="1" applyAlignment="1">
      <alignment horizontal="right" vertical="center" wrapText="1"/>
    </xf>
    <xf numFmtId="177" fontId="29" fillId="10" borderId="3" xfId="7" applyNumberFormat="1" applyFont="1" applyFill="1" applyBorder="1" applyAlignment="1">
      <alignment horizontal="center" vertical="center" wrapText="1"/>
    </xf>
    <xf numFmtId="9" fontId="29" fillId="10" borderId="3" xfId="5" applyFont="1" applyFill="1" applyBorder="1" applyAlignment="1">
      <alignment horizontal="center" vertical="center" wrapText="1"/>
    </xf>
    <xf numFmtId="9" fontId="29" fillId="10" borderId="10" xfId="5" applyFont="1" applyFill="1" applyBorder="1" applyAlignment="1">
      <alignment horizontal="center" vertical="center" wrapText="1"/>
    </xf>
    <xf numFmtId="41" fontId="30" fillId="2" borderId="0" xfId="7" applyFont="1" applyFill="1" applyBorder="1" applyAlignment="1">
      <alignment horizontal="center" vertical="center" wrapText="1"/>
    </xf>
    <xf numFmtId="0" fontId="30" fillId="2" borderId="0" xfId="3" applyFont="1" applyFill="1" applyAlignment="1">
      <alignment horizontal="center" vertical="center" wrapText="1"/>
    </xf>
    <xf numFmtId="0" fontId="30" fillId="2" borderId="8" xfId="3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 readingOrder="1"/>
    </xf>
    <xf numFmtId="0" fontId="28" fillId="8" borderId="3" xfId="0" applyFont="1" applyFill="1" applyBorder="1" applyAlignment="1">
      <alignment horizontal="center" vertical="center" wrapText="1" readingOrder="1"/>
    </xf>
    <xf numFmtId="177" fontId="28" fillId="8" borderId="3" xfId="7" applyNumberFormat="1" applyFont="1" applyFill="1" applyBorder="1" applyAlignment="1">
      <alignment horizontal="center" vertical="center" wrapText="1" readingOrder="1"/>
    </xf>
    <xf numFmtId="9" fontId="28" fillId="8" borderId="3" xfId="5" applyFont="1" applyFill="1" applyBorder="1" applyAlignment="1">
      <alignment horizontal="center" vertical="center" wrapText="1" readingOrder="1"/>
    </xf>
    <xf numFmtId="9" fontId="28" fillId="8" borderId="10" xfId="5" applyFont="1" applyFill="1" applyBorder="1" applyAlignment="1">
      <alignment horizontal="center" vertical="center" wrapText="1" readingOrder="1"/>
    </xf>
    <xf numFmtId="171" fontId="27" fillId="0" borderId="0" xfId="0" applyNumberFormat="1" applyFont="1" applyAlignment="1">
      <alignment horizontal="center" vertical="center" wrapText="1" readingOrder="1"/>
    </xf>
    <xf numFmtId="0" fontId="28" fillId="0" borderId="2" xfId="0" applyFont="1" applyBorder="1" applyAlignment="1">
      <alignment horizontal="center" vertical="center" wrapText="1" readingOrder="1"/>
    </xf>
    <xf numFmtId="164" fontId="28" fillId="0" borderId="0" xfId="11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 readingOrder="1"/>
    </xf>
    <xf numFmtId="0" fontId="27" fillId="2" borderId="3" xfId="0" applyFont="1" applyFill="1" applyBorder="1" applyAlignment="1">
      <alignment horizontal="center" vertical="center" wrapText="1" readingOrder="1"/>
    </xf>
    <xf numFmtId="49" fontId="27" fillId="2" borderId="3" xfId="0" applyNumberFormat="1" applyFont="1" applyFill="1" applyBorder="1" applyAlignment="1">
      <alignment horizontal="center" vertical="center" wrapText="1" readingOrder="1"/>
    </xf>
    <xf numFmtId="0" fontId="27" fillId="0" borderId="2" xfId="0" applyFont="1" applyBorder="1" applyAlignment="1">
      <alignment horizontal="center" vertical="center" wrapText="1" readingOrder="1"/>
    </xf>
    <xf numFmtId="0" fontId="28" fillId="2" borderId="2" xfId="0" applyFont="1" applyFill="1" applyBorder="1" applyAlignment="1">
      <alignment horizontal="center" vertical="center" wrapText="1" readingOrder="1"/>
    </xf>
    <xf numFmtId="0" fontId="28" fillId="2" borderId="3" xfId="0" applyFont="1" applyFill="1" applyBorder="1" applyAlignment="1">
      <alignment horizontal="center" vertical="center" wrapText="1" readingOrder="1"/>
    </xf>
    <xf numFmtId="49" fontId="28" fillId="2" borderId="3" xfId="0" applyNumberFormat="1" applyFont="1" applyFill="1" applyBorder="1" applyAlignment="1">
      <alignment horizontal="center" vertical="center" wrapText="1" readingOrder="1"/>
    </xf>
    <xf numFmtId="49" fontId="27" fillId="0" borderId="3" xfId="0" applyNumberFormat="1" applyFont="1" applyBorder="1" applyAlignment="1">
      <alignment horizontal="center" vertical="center" wrapText="1" readingOrder="1"/>
    </xf>
    <xf numFmtId="2" fontId="29" fillId="10" borderId="6" xfId="3" applyNumberFormat="1" applyFont="1" applyFill="1" applyBorder="1" applyAlignment="1">
      <alignment horizontal="right" vertical="center" wrapText="1"/>
    </xf>
    <xf numFmtId="177" fontId="29" fillId="10" borderId="6" xfId="7" applyNumberFormat="1" applyFont="1" applyFill="1" applyBorder="1" applyAlignment="1">
      <alignment horizontal="center" vertical="center" wrapText="1"/>
    </xf>
    <xf numFmtId="9" fontId="29" fillId="10" borderId="6" xfId="5" applyFont="1" applyFill="1" applyBorder="1" applyAlignment="1">
      <alignment horizontal="center" vertical="center" wrapText="1"/>
    </xf>
    <xf numFmtId="9" fontId="29" fillId="10" borderId="11" xfId="5" applyFont="1" applyFill="1" applyBorder="1" applyAlignment="1">
      <alignment horizontal="center" vertical="center" wrapText="1"/>
    </xf>
    <xf numFmtId="0" fontId="30" fillId="0" borderId="0" xfId="3" applyFont="1" applyAlignment="1">
      <alignment horizontal="center" vertical="center" wrapText="1"/>
    </xf>
    <xf numFmtId="0" fontId="30" fillId="0" borderId="8" xfId="3" applyFont="1" applyBorder="1" applyAlignment="1">
      <alignment horizontal="center" vertical="center" wrapText="1"/>
    </xf>
    <xf numFmtId="1" fontId="28" fillId="0" borderId="0" xfId="3" applyNumberFormat="1" applyFont="1" applyAlignment="1">
      <alignment horizontal="center" vertical="center" wrapText="1"/>
    </xf>
    <xf numFmtId="2" fontId="28" fillId="0" borderId="0" xfId="3" applyNumberFormat="1" applyFont="1" applyAlignment="1">
      <alignment horizontal="left" vertical="center" wrapText="1"/>
    </xf>
    <xf numFmtId="41" fontId="27" fillId="0" borderId="0" xfId="7" applyFont="1" applyFill="1" applyBorder="1" applyAlignment="1">
      <alignment horizontal="center" vertical="center" wrapText="1" readingOrder="1"/>
    </xf>
    <xf numFmtId="2" fontId="31" fillId="6" borderId="36" xfId="3" applyNumberFormat="1" applyFont="1" applyFill="1" applyBorder="1" applyAlignment="1">
      <alignment horizontal="center" vertical="center" wrapText="1"/>
    </xf>
    <xf numFmtId="2" fontId="28" fillId="6" borderId="3" xfId="3" applyNumberFormat="1" applyFont="1" applyFill="1" applyBorder="1" applyAlignment="1">
      <alignment horizontal="center" vertical="center" wrapText="1"/>
    </xf>
    <xf numFmtId="2" fontId="28" fillId="0" borderId="2" xfId="3" applyNumberFormat="1" applyFont="1" applyBorder="1" applyAlignment="1">
      <alignment horizontal="left" vertical="center" wrapText="1"/>
    </xf>
    <xf numFmtId="2" fontId="28" fillId="13" borderId="2" xfId="3" applyNumberFormat="1" applyFont="1" applyFill="1" applyBorder="1" applyAlignment="1">
      <alignment horizontal="right" vertical="center" wrapText="1"/>
    </xf>
    <xf numFmtId="177" fontId="28" fillId="13" borderId="3" xfId="7" applyNumberFormat="1" applyFont="1" applyFill="1" applyBorder="1" applyAlignment="1">
      <alignment horizontal="center" vertical="center" wrapText="1"/>
    </xf>
    <xf numFmtId="9" fontId="28" fillId="13" borderId="3" xfId="5" applyFont="1" applyFill="1" applyBorder="1" applyAlignment="1">
      <alignment horizontal="center" vertical="center" wrapText="1"/>
    </xf>
    <xf numFmtId="0" fontId="28" fillId="0" borderId="0" xfId="3" applyFont="1" applyAlignment="1">
      <alignment horizontal="left" vertical="center" wrapText="1"/>
    </xf>
    <xf numFmtId="171" fontId="32" fillId="0" borderId="0" xfId="0" applyNumberFormat="1" applyFont="1" applyAlignment="1">
      <alignment horizontal="center" vertical="center" wrapText="1" readingOrder="1"/>
    </xf>
    <xf numFmtId="41" fontId="27" fillId="0" borderId="0" xfId="3" applyNumberFormat="1" applyFont="1" applyAlignment="1">
      <alignment horizontal="center" vertical="center" wrapText="1"/>
    </xf>
    <xf numFmtId="168" fontId="27" fillId="2" borderId="0" xfId="3" applyNumberFormat="1" applyFont="1" applyFill="1" applyAlignment="1">
      <alignment horizontal="center" vertical="center" wrapText="1"/>
    </xf>
    <xf numFmtId="165" fontId="27" fillId="2" borderId="0" xfId="1" applyFont="1" applyFill="1" applyAlignment="1">
      <alignment horizontal="center" vertical="center" wrapText="1"/>
    </xf>
    <xf numFmtId="0" fontId="27" fillId="2" borderId="0" xfId="0" applyFont="1" applyFill="1" applyAlignment="1">
      <alignment horizontal="left" vertical="center" wrapText="1"/>
    </xf>
    <xf numFmtId="3" fontId="27" fillId="2" borderId="0" xfId="0" applyNumberFormat="1" applyFont="1" applyFill="1" applyAlignment="1">
      <alignment horizontal="left" vertical="center" wrapText="1"/>
    </xf>
    <xf numFmtId="0" fontId="27" fillId="2" borderId="0" xfId="0" applyFont="1" applyFill="1" applyAlignment="1">
      <alignment horizontal="center" vertical="center" wrapText="1"/>
    </xf>
    <xf numFmtId="41" fontId="28" fillId="2" borderId="0" xfId="7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41" fontId="27" fillId="2" borderId="0" xfId="7" applyFont="1" applyFill="1" applyAlignment="1">
      <alignment horizontal="center" vertical="center" wrapText="1"/>
    </xf>
    <xf numFmtId="2" fontId="28" fillId="6" borderId="10" xfId="3" applyNumberFormat="1" applyFont="1" applyFill="1" applyBorder="1" applyAlignment="1">
      <alignment horizontal="center" vertical="center" wrapText="1"/>
    </xf>
    <xf numFmtId="9" fontId="28" fillId="13" borderId="10" xfId="5" applyFont="1" applyFill="1" applyBorder="1" applyAlignment="1">
      <alignment horizontal="center" vertical="center" wrapText="1"/>
    </xf>
    <xf numFmtId="166" fontId="28" fillId="9" borderId="13" xfId="3" applyNumberFormat="1" applyFont="1" applyFill="1" applyBorder="1" applyAlignment="1">
      <alignment horizontal="center" vertical="center" wrapText="1"/>
    </xf>
    <xf numFmtId="167" fontId="28" fillId="9" borderId="13" xfId="3" applyNumberFormat="1" applyFont="1" applyFill="1" applyBorder="1" applyAlignment="1">
      <alignment horizontal="center" vertical="center" wrapText="1"/>
    </xf>
    <xf numFmtId="3" fontId="28" fillId="9" borderId="19" xfId="3" applyNumberFormat="1" applyFont="1" applyFill="1" applyBorder="1" applyAlignment="1">
      <alignment horizontal="center" vertical="center" wrapText="1"/>
    </xf>
    <xf numFmtId="3" fontId="28" fillId="9" borderId="13" xfId="1" applyNumberFormat="1" applyFont="1" applyFill="1" applyBorder="1" applyAlignment="1">
      <alignment horizontal="center" vertical="center" wrapText="1"/>
    </xf>
    <xf numFmtId="3" fontId="28" fillId="9" borderId="16" xfId="1" applyNumberFormat="1" applyFont="1" applyFill="1" applyBorder="1" applyAlignment="1">
      <alignment horizontal="center" vertical="center" wrapText="1"/>
    </xf>
    <xf numFmtId="0" fontId="29" fillId="10" borderId="5" xfId="3" applyFont="1" applyFill="1" applyBorder="1" applyAlignment="1">
      <alignment horizontal="right" vertical="center" wrapText="1"/>
    </xf>
    <xf numFmtId="10" fontId="9" fillId="7" borderId="2" xfId="5" applyNumberFormat="1" applyFont="1" applyFill="1" applyBorder="1" applyAlignment="1">
      <alignment horizontal="center" vertical="center" wrapText="1"/>
    </xf>
    <xf numFmtId="10" fontId="16" fillId="2" borderId="2" xfId="5" applyNumberFormat="1" applyFont="1" applyFill="1" applyBorder="1" applyAlignment="1">
      <alignment horizontal="center" vertical="center" wrapText="1"/>
    </xf>
    <xf numFmtId="9" fontId="9" fillId="7" borderId="10" xfId="5" applyFont="1" applyFill="1" applyBorder="1" applyAlignment="1">
      <alignment horizontal="center" vertical="center" wrapText="1"/>
    </xf>
    <xf numFmtId="9" fontId="16" fillId="2" borderId="2" xfId="5" applyFont="1" applyFill="1" applyBorder="1" applyAlignment="1">
      <alignment horizontal="center" vertical="center" wrapText="1"/>
    </xf>
    <xf numFmtId="10" fontId="9" fillId="8" borderId="2" xfId="5" applyNumberFormat="1" applyFont="1" applyFill="1" applyBorder="1" applyAlignment="1">
      <alignment horizontal="center" vertical="center" wrapText="1"/>
    </xf>
    <xf numFmtId="10" fontId="9" fillId="0" borderId="2" xfId="5" applyNumberFormat="1" applyFont="1" applyFill="1" applyBorder="1" applyAlignment="1">
      <alignment horizontal="center" vertical="center" wrapText="1"/>
    </xf>
    <xf numFmtId="165" fontId="8" fillId="10" borderId="6" xfId="0" applyNumberFormat="1" applyFont="1" applyFill="1" applyBorder="1" applyAlignment="1">
      <alignment horizontal="center" vertical="center" wrapText="1"/>
    </xf>
    <xf numFmtId="10" fontId="8" fillId="10" borderId="5" xfId="5" applyNumberFormat="1" applyFont="1" applyFill="1" applyBorder="1" applyAlignment="1">
      <alignment horizontal="center" vertical="center" wrapText="1"/>
    </xf>
    <xf numFmtId="10" fontId="8" fillId="10" borderId="11" xfId="5" applyNumberFormat="1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10" fontId="16" fillId="0" borderId="10" xfId="5" applyNumberFormat="1" applyFont="1" applyFill="1" applyBorder="1" applyAlignment="1">
      <alignment horizontal="center" vertical="center" wrapText="1"/>
    </xf>
    <xf numFmtId="176" fontId="5" fillId="0" borderId="0" xfId="0" applyNumberFormat="1" applyFont="1" applyAlignment="1">
      <alignment horizontal="right" vertical="center" readingOrder="1"/>
    </xf>
    <xf numFmtId="176" fontId="24" fillId="0" borderId="0" xfId="0" applyNumberFormat="1" applyFont="1" applyAlignment="1">
      <alignment horizontal="center" vertical="center" wrapText="1"/>
    </xf>
    <xf numFmtId="165" fontId="24" fillId="0" borderId="0" xfId="1" applyFont="1" applyBorder="1" applyAlignment="1">
      <alignment horizontal="center" vertical="center" wrapText="1"/>
    </xf>
    <xf numFmtId="174" fontId="28" fillId="8" borderId="2" xfId="12" applyFont="1" applyFill="1" applyBorder="1">
      <alignment horizontal="center" vertical="center" wrapText="1"/>
    </xf>
    <xf numFmtId="174" fontId="28" fillId="8" borderId="3" xfId="12" applyFont="1" applyFill="1" applyBorder="1">
      <alignment horizontal="center" vertical="center" wrapText="1"/>
    </xf>
    <xf numFmtId="174" fontId="28" fillId="9" borderId="2" xfId="12" applyFont="1" applyFill="1" applyBorder="1">
      <alignment horizontal="center" vertical="center" wrapText="1"/>
    </xf>
    <xf numFmtId="174" fontId="28" fillId="9" borderId="3" xfId="12" applyFont="1" applyFill="1" applyBorder="1">
      <alignment horizontal="center" vertical="center" wrapText="1"/>
    </xf>
    <xf numFmtId="174" fontId="28" fillId="2" borderId="2" xfId="12" applyFont="1" applyFill="1" applyBorder="1">
      <alignment horizontal="center" vertical="center" wrapText="1"/>
    </xf>
    <xf numFmtId="174" fontId="28" fillId="2" borderId="3" xfId="12" applyFont="1" applyFill="1" applyBorder="1">
      <alignment horizontal="center" vertical="center" wrapText="1"/>
    </xf>
    <xf numFmtId="174" fontId="27" fillId="2" borderId="2" xfId="12" applyFont="1" applyFill="1" applyBorder="1">
      <alignment horizontal="center" vertical="center" wrapText="1"/>
    </xf>
    <xf numFmtId="174" fontId="27" fillId="2" borderId="3" xfId="12" applyFont="1" applyFill="1" applyBorder="1">
      <alignment horizontal="center" vertical="center" wrapText="1"/>
    </xf>
    <xf numFmtId="174" fontId="27" fillId="2" borderId="3" xfId="12" quotePrefix="1" applyFont="1" applyFill="1" applyBorder="1">
      <alignment horizontal="center" vertical="center" wrapText="1"/>
    </xf>
    <xf numFmtId="174" fontId="28" fillId="7" borderId="2" xfId="12" applyFont="1" applyFill="1" applyBorder="1">
      <alignment horizontal="center" vertical="center" wrapText="1"/>
    </xf>
    <xf numFmtId="174" fontId="28" fillId="7" borderId="3" xfId="12" applyFont="1" applyFill="1" applyBorder="1">
      <alignment horizontal="center" vertical="center" wrapText="1"/>
    </xf>
    <xf numFmtId="174" fontId="28" fillId="0" borderId="2" xfId="12" applyFont="1" applyFill="1" applyBorder="1">
      <alignment horizontal="center" vertical="center" wrapText="1"/>
    </xf>
    <xf numFmtId="174" fontId="28" fillId="0" borderId="3" xfId="12" applyFont="1" applyFill="1" applyBorder="1">
      <alignment horizontal="center" vertical="center" wrapText="1"/>
    </xf>
    <xf numFmtId="174" fontId="27" fillId="0" borderId="2" xfId="12" applyFont="1" applyFill="1" applyBorder="1">
      <alignment horizontal="center" vertical="center" wrapText="1"/>
    </xf>
    <xf numFmtId="174" fontId="27" fillId="0" borderId="3" xfId="12" applyFont="1" applyFill="1" applyBorder="1">
      <alignment horizontal="center" vertical="center" wrapText="1"/>
    </xf>
    <xf numFmtId="49" fontId="10" fillId="2" borderId="3" xfId="13" applyNumberFormat="1" applyFont="1" applyFill="1" applyBorder="1" applyAlignment="1">
      <alignment horizontal="center" vertical="center" wrapText="1"/>
    </xf>
    <xf numFmtId="10" fontId="14" fillId="10" borderId="15" xfId="7" applyNumberFormat="1" applyFont="1" applyFill="1" applyBorder="1" applyAlignment="1">
      <alignment horizontal="center" vertical="center" wrapText="1"/>
    </xf>
    <xf numFmtId="10" fontId="39" fillId="14" borderId="15" xfId="7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readingOrder="1"/>
    </xf>
    <xf numFmtId="0" fontId="28" fillId="0" borderId="3" xfId="5" applyNumberFormat="1" applyFont="1" applyFill="1" applyBorder="1" applyAlignment="1">
      <alignment horizontal="center" vertical="center" wrapText="1"/>
    </xf>
    <xf numFmtId="43" fontId="41" fillId="2" borderId="0" xfId="0" applyNumberFormat="1" applyFont="1" applyFill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 readingOrder="1"/>
    </xf>
    <xf numFmtId="0" fontId="12" fillId="0" borderId="9" xfId="0" applyFont="1" applyBorder="1" applyAlignment="1">
      <alignment horizontal="center" vertical="center" wrapText="1" readingOrder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10" fontId="22" fillId="14" borderId="15" xfId="7" applyNumberFormat="1" applyFont="1" applyFill="1" applyBorder="1" applyAlignment="1">
      <alignment horizontal="center" vertical="center" wrapText="1"/>
    </xf>
    <xf numFmtId="0" fontId="42" fillId="0" borderId="0" xfId="0" applyFont="1"/>
    <xf numFmtId="0" fontId="43" fillId="0" borderId="14" xfId="0" applyFont="1" applyBorder="1" applyAlignment="1">
      <alignment horizontal="center" vertical="center" readingOrder="1"/>
    </xf>
    <xf numFmtId="0" fontId="43" fillId="0" borderId="0" xfId="0" applyFont="1" applyAlignment="1">
      <alignment horizontal="center" vertical="center" readingOrder="1"/>
    </xf>
    <xf numFmtId="0" fontId="43" fillId="0" borderId="14" xfId="0" applyFont="1" applyBorder="1" applyAlignment="1">
      <alignment horizontal="left" vertical="center" readingOrder="1"/>
    </xf>
    <xf numFmtId="0" fontId="44" fillId="0" borderId="14" xfId="0" applyFont="1" applyBorder="1" applyAlignment="1">
      <alignment horizontal="right" vertical="center" readingOrder="1"/>
    </xf>
    <xf numFmtId="0" fontId="5" fillId="0" borderId="14" xfId="0" applyFont="1" applyBorder="1" applyAlignment="1">
      <alignment horizontal="center" vertical="center" readingOrder="1"/>
    </xf>
    <xf numFmtId="0" fontId="5" fillId="0" borderId="14" xfId="0" applyFont="1" applyBorder="1" applyAlignment="1">
      <alignment vertical="center" readingOrder="1"/>
    </xf>
    <xf numFmtId="176" fontId="5" fillId="0" borderId="14" xfId="0" applyNumberFormat="1" applyFont="1" applyBorder="1" applyAlignment="1">
      <alignment horizontal="right" vertical="center" readingOrder="1"/>
    </xf>
    <xf numFmtId="0" fontId="10" fillId="12" borderId="15" xfId="0" applyFont="1" applyFill="1" applyBorder="1" applyAlignment="1">
      <alignment horizontal="left" vertical="center" wrapText="1" indent="3"/>
    </xf>
    <xf numFmtId="41" fontId="10" fillId="12" borderId="15" xfId="7" applyFont="1" applyFill="1" applyBorder="1" applyAlignment="1">
      <alignment horizontal="center" vertical="center" wrapText="1"/>
    </xf>
    <xf numFmtId="10" fontId="25" fillId="12" borderId="15" xfId="5" applyNumberFormat="1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left" vertical="center" wrapText="1" readingOrder="1"/>
    </xf>
    <xf numFmtId="177" fontId="28" fillId="2" borderId="3" xfId="7" applyNumberFormat="1" applyFont="1" applyFill="1" applyBorder="1" applyAlignment="1">
      <alignment horizontal="center" vertical="center" wrapText="1" readingOrder="1"/>
    </xf>
    <xf numFmtId="9" fontId="28" fillId="2" borderId="3" xfId="5" applyFont="1" applyFill="1" applyBorder="1" applyAlignment="1">
      <alignment horizontal="center" vertical="center" wrapText="1" readingOrder="1"/>
    </xf>
    <xf numFmtId="9" fontId="28" fillId="2" borderId="10" xfId="5" applyFont="1" applyFill="1" applyBorder="1" applyAlignment="1">
      <alignment horizontal="center" vertical="center" wrapText="1" readingOrder="1"/>
    </xf>
    <xf numFmtId="41" fontId="25" fillId="0" borderId="15" xfId="7" applyFont="1" applyFill="1" applyBorder="1" applyAlignment="1">
      <alignment horizontal="center" vertical="center" wrapText="1"/>
    </xf>
    <xf numFmtId="41" fontId="24" fillId="2" borderId="0" xfId="0" applyNumberFormat="1" applyFont="1" applyFill="1" applyAlignment="1">
      <alignment horizontal="center" vertical="center" wrapText="1"/>
    </xf>
    <xf numFmtId="170" fontId="10" fillId="12" borderId="15" xfId="1" applyNumberFormat="1" applyFont="1" applyFill="1" applyBorder="1" applyAlignment="1">
      <alignment horizontal="center" vertical="center" wrapText="1"/>
    </xf>
    <xf numFmtId="43" fontId="24" fillId="0" borderId="0" xfId="0" applyNumberFormat="1" applyFont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177" fontId="27" fillId="0" borderId="3" xfId="7" applyNumberFormat="1" applyFont="1" applyFill="1" applyBorder="1" applyAlignment="1">
      <alignment horizontal="center" vertical="center" wrapText="1"/>
    </xf>
    <xf numFmtId="168" fontId="27" fillId="0" borderId="0" xfId="3" applyNumberFormat="1" applyFont="1" applyAlignment="1">
      <alignment horizontal="center" vertical="center" wrapText="1"/>
    </xf>
    <xf numFmtId="0" fontId="34" fillId="0" borderId="0" xfId="3" applyFont="1" applyAlignment="1">
      <alignment horizontal="center" vertical="center" wrapText="1"/>
    </xf>
    <xf numFmtId="0" fontId="28" fillId="0" borderId="33" xfId="3" applyFont="1" applyBorder="1" applyAlignment="1">
      <alignment horizontal="center" vertical="center" wrapText="1"/>
    </xf>
    <xf numFmtId="0" fontId="28" fillId="0" borderId="34" xfId="3" applyFont="1" applyBorder="1" applyAlignment="1">
      <alignment horizontal="center" vertical="center" wrapText="1"/>
    </xf>
    <xf numFmtId="0" fontId="28" fillId="0" borderId="44" xfId="3" applyFont="1" applyBorder="1" applyAlignment="1">
      <alignment horizontal="center" vertical="center" wrapText="1"/>
    </xf>
    <xf numFmtId="0" fontId="35" fillId="3" borderId="33" xfId="3" applyFont="1" applyFill="1" applyBorder="1" applyAlignment="1">
      <alignment horizontal="center" vertical="center" wrapText="1"/>
    </xf>
    <xf numFmtId="0" fontId="35" fillId="3" borderId="34" xfId="3" applyFont="1" applyFill="1" applyBorder="1" applyAlignment="1">
      <alignment horizontal="center" vertical="center" wrapText="1"/>
    </xf>
    <xf numFmtId="0" fontId="35" fillId="3" borderId="35" xfId="3" applyFont="1" applyFill="1" applyBorder="1" applyAlignment="1">
      <alignment horizontal="center" vertical="center" wrapText="1"/>
    </xf>
    <xf numFmtId="0" fontId="28" fillId="13" borderId="13" xfId="3" applyFont="1" applyFill="1" applyBorder="1" applyAlignment="1">
      <alignment horizontal="center" vertical="center" wrapText="1"/>
    </xf>
    <xf numFmtId="0" fontId="28" fillId="13" borderId="21" xfId="3" applyFont="1" applyFill="1" applyBorder="1" applyAlignment="1">
      <alignment horizontal="center" vertical="center" wrapText="1"/>
    </xf>
    <xf numFmtId="3" fontId="28" fillId="13" borderId="13" xfId="3" applyNumberFormat="1" applyFont="1" applyFill="1" applyBorder="1" applyAlignment="1">
      <alignment horizontal="center" vertical="center" wrapText="1"/>
    </xf>
    <xf numFmtId="3" fontId="28" fillId="13" borderId="21" xfId="3" applyNumberFormat="1" applyFont="1" applyFill="1" applyBorder="1" applyAlignment="1">
      <alignment horizontal="center" vertical="center" wrapText="1"/>
    </xf>
    <xf numFmtId="3" fontId="28" fillId="13" borderId="13" xfId="1" applyNumberFormat="1" applyFont="1" applyFill="1" applyBorder="1" applyAlignment="1">
      <alignment horizontal="center" vertical="center" wrapText="1"/>
    </xf>
    <xf numFmtId="3" fontId="28" fillId="13" borderId="21" xfId="1" applyNumberFormat="1" applyFont="1" applyFill="1" applyBorder="1" applyAlignment="1">
      <alignment horizontal="center" vertical="center" wrapText="1"/>
    </xf>
    <xf numFmtId="3" fontId="28" fillId="13" borderId="16" xfId="1" applyNumberFormat="1" applyFont="1" applyFill="1" applyBorder="1" applyAlignment="1">
      <alignment horizontal="center" vertical="center" wrapText="1"/>
    </xf>
    <xf numFmtId="3" fontId="28" fillId="13" borderId="22" xfId="1" applyNumberFormat="1" applyFont="1" applyFill="1" applyBorder="1" applyAlignment="1">
      <alignment horizontal="center" vertical="center" wrapText="1"/>
    </xf>
    <xf numFmtId="1" fontId="28" fillId="13" borderId="12" xfId="3" applyNumberFormat="1" applyFont="1" applyFill="1" applyBorder="1" applyAlignment="1">
      <alignment horizontal="center" vertical="center" wrapText="1"/>
    </xf>
    <xf numFmtId="1" fontId="28" fillId="13" borderId="32" xfId="3" applyNumberFormat="1" applyFont="1" applyFill="1" applyBorder="1" applyAlignment="1">
      <alignment horizontal="center" vertical="center" wrapText="1"/>
    </xf>
    <xf numFmtId="1" fontId="28" fillId="13" borderId="13" xfId="3" applyNumberFormat="1" applyFont="1" applyFill="1" applyBorder="1" applyAlignment="1">
      <alignment horizontal="center" vertical="center" wrapText="1"/>
    </xf>
    <xf numFmtId="1" fontId="28" fillId="13" borderId="21" xfId="3" applyNumberFormat="1" applyFont="1" applyFill="1" applyBorder="1" applyAlignment="1">
      <alignment horizontal="center" vertical="center" wrapText="1"/>
    </xf>
    <xf numFmtId="0" fontId="33" fillId="0" borderId="0" xfId="3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0" fontId="27" fillId="0" borderId="0" xfId="3" applyFont="1" applyAlignment="1">
      <alignment horizontal="left" vertical="center" wrapText="1"/>
    </xf>
    <xf numFmtId="0" fontId="27" fillId="2" borderId="0" xfId="3" applyFont="1" applyFill="1" applyAlignment="1">
      <alignment horizontal="center" vertical="center" wrapText="1"/>
    </xf>
    <xf numFmtId="3" fontId="27" fillId="2" borderId="0" xfId="3" applyNumberFormat="1" applyFont="1" applyFill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center" vertical="center" wrapText="1"/>
    </xf>
    <xf numFmtId="2" fontId="35" fillId="11" borderId="23" xfId="3" applyNumberFormat="1" applyFont="1" applyFill="1" applyBorder="1" applyAlignment="1">
      <alignment horizontal="center" vertical="center" wrapText="1"/>
    </xf>
    <xf numFmtId="2" fontId="35" fillId="11" borderId="24" xfId="3" applyNumberFormat="1" applyFont="1" applyFill="1" applyBorder="1" applyAlignment="1">
      <alignment horizontal="center" vertical="center" wrapText="1"/>
    </xf>
    <xf numFmtId="2" fontId="35" fillId="11" borderId="25" xfId="3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1" fontId="29" fillId="10" borderId="42" xfId="3" applyNumberFormat="1" applyFont="1" applyFill="1" applyBorder="1" applyAlignment="1">
      <alignment horizontal="center" vertical="center" wrapText="1"/>
    </xf>
    <xf numFmtId="1" fontId="29" fillId="10" borderId="43" xfId="3" applyNumberFormat="1" applyFont="1" applyFill="1" applyBorder="1" applyAlignment="1">
      <alignment horizontal="center" vertical="center" wrapText="1"/>
    </xf>
    <xf numFmtId="1" fontId="29" fillId="10" borderId="18" xfId="3" applyNumberFormat="1" applyFont="1" applyFill="1" applyBorder="1" applyAlignment="1">
      <alignment horizontal="center" vertical="center" wrapText="1"/>
    </xf>
    <xf numFmtId="1" fontId="29" fillId="10" borderId="17" xfId="3" applyNumberFormat="1" applyFont="1" applyFill="1" applyBorder="1" applyAlignment="1">
      <alignment horizontal="center" vertical="center" wrapText="1"/>
    </xf>
    <xf numFmtId="1" fontId="29" fillId="10" borderId="9" xfId="3" applyNumberFormat="1" applyFont="1" applyFill="1" applyBorder="1" applyAlignment="1">
      <alignment horizontal="center" vertical="center" wrapText="1"/>
    </xf>
    <xf numFmtId="1" fontId="29" fillId="10" borderId="7" xfId="3" applyNumberFormat="1" applyFont="1" applyFill="1" applyBorder="1" applyAlignment="1">
      <alignment horizontal="center" vertical="center" wrapText="1"/>
    </xf>
    <xf numFmtId="0" fontId="16" fillId="7" borderId="31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1" fontId="39" fillId="10" borderId="13" xfId="3" applyNumberFormat="1" applyFont="1" applyFill="1" applyBorder="1" applyAlignment="1">
      <alignment horizontal="center" vertical="center" wrapText="1"/>
    </xf>
    <xf numFmtId="1" fontId="39" fillId="10" borderId="29" xfId="3" applyNumberFormat="1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left" vertical="center" wrapText="1" readingOrder="1"/>
    </xf>
    <xf numFmtId="0" fontId="20" fillId="7" borderId="9" xfId="0" applyFont="1" applyFill="1" applyBorder="1" applyAlignment="1">
      <alignment horizontal="left" vertical="center" wrapText="1" readingOrder="1"/>
    </xf>
    <xf numFmtId="0" fontId="20" fillId="7" borderId="7" xfId="0" applyFont="1" applyFill="1" applyBorder="1" applyAlignment="1">
      <alignment horizontal="left" vertical="center" wrapText="1" readingOrder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170" fontId="6" fillId="10" borderId="13" xfId="0" applyNumberFormat="1" applyFont="1" applyFill="1" applyBorder="1" applyAlignment="1">
      <alignment horizontal="center" vertical="center" wrapText="1"/>
    </xf>
    <xf numFmtId="170" fontId="6" fillId="10" borderId="29" xfId="0" applyNumberFormat="1" applyFont="1" applyFill="1" applyBorder="1" applyAlignment="1">
      <alignment horizontal="center" vertical="center" wrapText="1"/>
    </xf>
    <xf numFmtId="10" fontId="6" fillId="10" borderId="16" xfId="5" applyNumberFormat="1" applyFont="1" applyFill="1" applyBorder="1" applyAlignment="1">
      <alignment horizontal="center" vertical="center" wrapText="1"/>
    </xf>
    <xf numFmtId="10" fontId="6" fillId="10" borderId="45" xfId="5" applyNumberFormat="1" applyFont="1" applyFill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 vertical="center" wrapText="1"/>
    </xf>
    <xf numFmtId="0" fontId="6" fillId="10" borderId="29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 wrapText="1"/>
    </xf>
    <xf numFmtId="0" fontId="26" fillId="12" borderId="26" xfId="0" applyFont="1" applyFill="1" applyBorder="1" applyAlignment="1">
      <alignment horizontal="center" vertical="center" wrapText="1"/>
    </xf>
    <xf numFmtId="0" fontId="26" fillId="12" borderId="27" xfId="0" applyFont="1" applyFill="1" applyBorder="1" applyAlignment="1">
      <alignment horizontal="center" vertical="center" wrapText="1"/>
    </xf>
    <xf numFmtId="0" fontId="26" fillId="12" borderId="28" xfId="0" applyFont="1" applyFill="1" applyBorder="1" applyAlignment="1">
      <alignment horizontal="center" vertical="center" wrapText="1"/>
    </xf>
    <xf numFmtId="0" fontId="26" fillId="12" borderId="20" xfId="0" applyFont="1" applyFill="1" applyBorder="1" applyAlignment="1">
      <alignment horizontal="center" vertical="center" wrapText="1"/>
    </xf>
    <xf numFmtId="0" fontId="26" fillId="12" borderId="0" xfId="0" applyFont="1" applyFill="1" applyAlignment="1">
      <alignment horizontal="center" vertical="center" wrapText="1"/>
    </xf>
    <xf numFmtId="0" fontId="26" fillId="12" borderId="8" xfId="0" applyFont="1" applyFill="1" applyBorder="1" applyAlignment="1">
      <alignment horizontal="center" vertical="center" wrapText="1"/>
    </xf>
    <xf numFmtId="1" fontId="16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41" fontId="11" fillId="2" borderId="0" xfId="7" applyFont="1" applyFill="1" applyBorder="1" applyAlignment="1">
      <alignment horizontal="center" vertical="center" wrapText="1"/>
    </xf>
    <xf numFmtId="170" fontId="40" fillId="2" borderId="0" xfId="0" applyNumberFormat="1" applyFont="1" applyFill="1" applyAlignment="1">
      <alignment horizontal="center" vertical="center" wrapText="1"/>
    </xf>
    <xf numFmtId="0" fontId="9" fillId="8" borderId="17" xfId="0" applyFont="1" applyFill="1" applyBorder="1" applyAlignment="1">
      <alignment horizontal="right" vertical="center" wrapText="1"/>
    </xf>
    <xf numFmtId="0" fontId="9" fillId="8" borderId="9" xfId="0" applyFont="1" applyFill="1" applyBorder="1" applyAlignment="1">
      <alignment horizontal="right" vertical="center" wrapText="1"/>
    </xf>
    <xf numFmtId="0" fontId="9" fillId="8" borderId="7" xfId="0" applyFont="1" applyFill="1" applyBorder="1" applyAlignment="1">
      <alignment horizontal="right" vertical="center" wrapText="1"/>
    </xf>
    <xf numFmtId="0" fontId="8" fillId="10" borderId="38" xfId="0" applyFont="1" applyFill="1" applyBorder="1" applyAlignment="1">
      <alignment horizontal="right" vertical="center" wrapText="1"/>
    </xf>
    <xf numFmtId="0" fontId="8" fillId="10" borderId="39" xfId="0" applyFont="1" applyFill="1" applyBorder="1" applyAlignment="1">
      <alignment horizontal="right" vertical="center" wrapText="1"/>
    </xf>
    <xf numFmtId="0" fontId="8" fillId="10" borderId="40" xfId="0" applyFont="1" applyFill="1" applyBorder="1" applyAlignment="1">
      <alignment horizontal="right" vertical="center" wrapText="1"/>
    </xf>
    <xf numFmtId="1" fontId="39" fillId="10" borderId="12" xfId="3" applyNumberFormat="1" applyFont="1" applyFill="1" applyBorder="1" applyAlignment="1">
      <alignment horizontal="center" vertical="center" wrapText="1"/>
    </xf>
    <xf numFmtId="1" fontId="39" fillId="10" borderId="37" xfId="3" applyNumberFormat="1" applyFont="1" applyFill="1" applyBorder="1" applyAlignment="1">
      <alignment horizontal="center" vertical="center" wrapText="1"/>
    </xf>
  </cellXfs>
  <cellStyles count="16">
    <cellStyle name="Millares" xfId="1" builtinId="3"/>
    <cellStyle name="Millares [0]" xfId="7" builtinId="6"/>
    <cellStyle name="Millares 2" xfId="2" xr:uid="{00000000-0005-0000-0000-000003000000}"/>
    <cellStyle name="Millares 3" xfId="6" xr:uid="{00000000-0005-0000-0000-000004000000}"/>
    <cellStyle name="Millares 4" xfId="8" xr:uid="{00000000-0005-0000-0000-000005000000}"/>
    <cellStyle name="Millares 5" xfId="10" xr:uid="{00000000-0005-0000-0000-000006000000}"/>
    <cellStyle name="Millares 6" xfId="15" xr:uid="{C9D3E422-1CC9-471F-BDEC-E32AAEA3756D}"/>
    <cellStyle name="Moneda [0]" xfId="11" builtinId="7"/>
    <cellStyle name="Nivel 1,2.3,5,6,9" xfId="12" xr:uid="{00000000-0005-0000-0000-000008000000}"/>
    <cellStyle name="Nivel 4" xfId="13" xr:uid="{00000000-0005-0000-0000-000009000000}"/>
    <cellStyle name="Nivel 7" xfId="14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6" xfId="9" xr:uid="{00000000-0005-0000-0000-00000E000000}"/>
    <cellStyle name="Porcentaje" xfId="5" builtinId="5"/>
  </cellStyles>
  <dxfs count="0"/>
  <tableStyles count="0" defaultTableStyle="TableStyleMedium2" defaultPivotStyle="PivotStyleLight16"/>
  <colors>
    <mruColors>
      <color rgb="FF000099"/>
      <color rgb="FF0033CC"/>
      <color rgb="FFFF0066"/>
      <color rgb="FF66FFFF"/>
      <color rgb="FFFF66FF"/>
      <color rgb="FFCC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78441</xdr:rowOff>
    </xdr:from>
    <xdr:to>
      <xdr:col>4</xdr:col>
      <xdr:colOff>94417</xdr:colOff>
      <xdr:row>2</xdr:row>
      <xdr:rowOff>192741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C50D2E-1CED-4E26-B911-2FC6732BC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78441"/>
          <a:ext cx="1687782" cy="607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550068</xdr:colOff>
      <xdr:row>1</xdr:row>
      <xdr:rowOff>76206</xdr:rowOff>
    </xdr:from>
    <xdr:to>
      <xdr:col>7</xdr:col>
      <xdr:colOff>3788092</xdr:colOff>
      <xdr:row>3</xdr:row>
      <xdr:rowOff>96314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4C20A6-63F9-46BF-ABF4-DB43DD41B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068" y="228606"/>
          <a:ext cx="3226594" cy="6963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191326</xdr:colOff>
      <xdr:row>8</xdr:row>
      <xdr:rowOff>224442</xdr:rowOff>
    </xdr:from>
    <xdr:to>
      <xdr:col>8</xdr:col>
      <xdr:colOff>811529</xdr:colOff>
      <xdr:row>10</xdr:row>
      <xdr:rowOff>0</xdr:rowOff>
    </xdr:to>
    <xdr:sp macro="" textlink="">
      <xdr:nvSpPr>
        <xdr:cNvPr id="2" name="Co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897426" y="2729517"/>
          <a:ext cx="620203" cy="362298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202757</xdr:colOff>
      <xdr:row>8</xdr:row>
      <xdr:rowOff>195867</xdr:rowOff>
    </xdr:from>
    <xdr:to>
      <xdr:col>9</xdr:col>
      <xdr:colOff>830580</xdr:colOff>
      <xdr:row>10</xdr:row>
      <xdr:rowOff>0</xdr:rowOff>
    </xdr:to>
    <xdr:sp macro="" textlink="">
      <xdr:nvSpPr>
        <xdr:cNvPr id="3" name="Conector 1">
          <a:extLst>
            <a:ext uri="{FF2B5EF4-FFF2-40B4-BE49-F238E27FC236}">
              <a16:creationId xmlns:a16="http://schemas.microsoft.com/office/drawing/2014/main" id="{0DEACE5C-0853-4A1C-ABF5-11A42AB1784D}"/>
            </a:ext>
          </a:extLst>
        </xdr:cNvPr>
        <xdr:cNvSpPr/>
      </xdr:nvSpPr>
      <xdr:spPr>
        <a:xfrm>
          <a:off x="12288077" y="2679987"/>
          <a:ext cx="627823" cy="398493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221092</xdr:colOff>
      <xdr:row>13</xdr:row>
      <xdr:rowOff>99218</xdr:rowOff>
    </xdr:from>
    <xdr:to>
      <xdr:col>8</xdr:col>
      <xdr:colOff>841295</xdr:colOff>
      <xdr:row>13</xdr:row>
      <xdr:rowOff>431403</xdr:rowOff>
    </xdr:to>
    <xdr:sp macro="" textlink="">
      <xdr:nvSpPr>
        <xdr:cNvPr id="2" name="Conector 1">
          <a:extLst>
            <a:ext uri="{FF2B5EF4-FFF2-40B4-BE49-F238E27FC236}">
              <a16:creationId xmlns:a16="http://schemas.microsoft.com/office/drawing/2014/main" id="{BC0CCA41-DC91-4016-9CEE-D0DC631A0A73}"/>
            </a:ext>
          </a:extLst>
        </xdr:cNvPr>
        <xdr:cNvSpPr/>
      </xdr:nvSpPr>
      <xdr:spPr>
        <a:xfrm>
          <a:off x="10073514" y="3432968"/>
          <a:ext cx="620203" cy="332185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202757</xdr:colOff>
      <xdr:row>13</xdr:row>
      <xdr:rowOff>109141</xdr:rowOff>
    </xdr:from>
    <xdr:to>
      <xdr:col>9</xdr:col>
      <xdr:colOff>830580</xdr:colOff>
      <xdr:row>13</xdr:row>
      <xdr:rowOff>430212</xdr:rowOff>
    </xdr:to>
    <xdr:sp macro="" textlink="">
      <xdr:nvSpPr>
        <xdr:cNvPr id="3" name="Conector 1">
          <a:extLst>
            <a:ext uri="{FF2B5EF4-FFF2-40B4-BE49-F238E27FC236}">
              <a16:creationId xmlns:a16="http://schemas.microsoft.com/office/drawing/2014/main" id="{CDFFCABA-A6F3-48EB-9FBB-BE11F469CC93}"/>
            </a:ext>
          </a:extLst>
        </xdr:cNvPr>
        <xdr:cNvSpPr/>
      </xdr:nvSpPr>
      <xdr:spPr>
        <a:xfrm>
          <a:off x="11136663" y="3442891"/>
          <a:ext cx="627823" cy="321071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231013</xdr:colOff>
      <xdr:row>15</xdr:row>
      <xdr:rowOff>9921</xdr:rowOff>
    </xdr:from>
    <xdr:to>
      <xdr:col>8</xdr:col>
      <xdr:colOff>851216</xdr:colOff>
      <xdr:row>16</xdr:row>
      <xdr:rowOff>19843</xdr:rowOff>
    </xdr:to>
    <xdr:sp macro="" textlink="">
      <xdr:nvSpPr>
        <xdr:cNvPr id="4" name="Conector 1">
          <a:extLst>
            <a:ext uri="{FF2B5EF4-FFF2-40B4-BE49-F238E27FC236}">
              <a16:creationId xmlns:a16="http://schemas.microsoft.com/office/drawing/2014/main" id="{9382F644-5AEF-41FD-874F-FAF8118C3138}"/>
            </a:ext>
          </a:extLst>
        </xdr:cNvPr>
        <xdr:cNvSpPr/>
      </xdr:nvSpPr>
      <xdr:spPr>
        <a:xfrm>
          <a:off x="10083435" y="4316015"/>
          <a:ext cx="620203" cy="396875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202757</xdr:colOff>
      <xdr:row>15</xdr:row>
      <xdr:rowOff>19844</xdr:rowOff>
    </xdr:from>
    <xdr:to>
      <xdr:col>9</xdr:col>
      <xdr:colOff>830580</xdr:colOff>
      <xdr:row>15</xdr:row>
      <xdr:rowOff>377031</xdr:rowOff>
    </xdr:to>
    <xdr:sp macro="" textlink="">
      <xdr:nvSpPr>
        <xdr:cNvPr id="5" name="Conector 1">
          <a:extLst>
            <a:ext uri="{FF2B5EF4-FFF2-40B4-BE49-F238E27FC236}">
              <a16:creationId xmlns:a16="http://schemas.microsoft.com/office/drawing/2014/main" id="{613046C0-5C10-4395-A94C-953F9036E7D3}"/>
            </a:ext>
          </a:extLst>
        </xdr:cNvPr>
        <xdr:cNvSpPr/>
      </xdr:nvSpPr>
      <xdr:spPr>
        <a:xfrm>
          <a:off x="11136663" y="4325938"/>
          <a:ext cx="627823" cy="357187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RESUPUESTO\2024\INFORMES%20DE%20EJECUCION\EJECUCION%20MENSUAL\EJECUCION%20PRESUPUESTAL%20SEPTIEMBRE%202024.xlsx" TargetMode="External"/><Relationship Id="rId1" Type="http://schemas.openxmlformats.org/officeDocument/2006/relationships/externalLinkPath" Target="/PRESUPUESTO/2024/INFORMES%20DE%20EJECUCION/EJECUCION%20MENSUAL/EJECUCION%20PRESUPUESTAL%20SEPT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AGENCIA"/>
      <sheetName val="SEG.PTAL-DR "/>
      <sheetName val="INF SECRETARÍA GRAL "/>
      <sheetName val="EJ. AGREGADA"/>
      <sheetName val="EJ. DESAGREGADA"/>
      <sheetName val="INF SECRETARÍA GRAL  (2)"/>
      <sheetName val="Hoja1"/>
      <sheetName val="#¡REF"/>
    </sheetNames>
    <sheetDataSet>
      <sheetData sheetId="0"/>
      <sheetData sheetId="1">
        <row r="26">
          <cell r="H26" t="str">
            <v>IMPLEMENTACION DEL PROGRAMA DE FORTALECIMIENTO DE LA AGENCIA DE DEFENSA JURIDICA A NIVEL NACIONAL</v>
          </cell>
        </row>
        <row r="27">
          <cell r="H27" t="str">
            <v>FORTALECIMIENTO DE LAS CAPACIDADES DE LA ANDJE PARA MEJORAR LA EFICIENCIA DE LAS ENTIDADES DEL NIVEL NACIONAL QUE HACEN PARTE DEL SISTEMA DE DEFENSA JURIDICA.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AY153"/>
  <sheetViews>
    <sheetView showGridLines="0" zoomScaleNormal="100" workbookViewId="0">
      <pane xSplit="9" ySplit="7" topLeftCell="J29" activePane="bottomRight" state="frozen"/>
      <selection pane="topRight" activeCell="J1" sqref="J1"/>
      <selection pane="bottomLeft" activeCell="A9" sqref="A9"/>
      <selection pane="bottomRight" activeCell="M61" sqref="M61"/>
    </sheetView>
  </sheetViews>
  <sheetFormatPr baseColWidth="10" defaultColWidth="11.44140625" defaultRowHeight="10.8" x14ac:dyDescent="0.3"/>
  <cols>
    <col min="1" max="1" width="7" style="107" customWidth="1"/>
    <col min="2" max="2" width="6.44140625" style="107" customWidth="1"/>
    <col min="3" max="3" width="5.88671875" style="107" customWidth="1"/>
    <col min="4" max="4" width="6.6640625" style="107" customWidth="1"/>
    <col min="5" max="5" width="9.109375" style="107" bestFit="1" customWidth="1"/>
    <col min="6" max="6" width="5.33203125" style="107" customWidth="1"/>
    <col min="7" max="7" width="5.44140625" style="107" customWidth="1"/>
    <col min="8" max="8" width="31.6640625" style="108" customWidth="1"/>
    <col min="9" max="9" width="23.5546875" style="109" customWidth="1"/>
    <col min="10" max="10" width="23" style="109" customWidth="1"/>
    <col min="11" max="11" width="13.109375" style="109" customWidth="1"/>
    <col min="12" max="12" width="22.6640625" style="109" customWidth="1"/>
    <col min="13" max="13" width="22.109375" style="107" bestFit="1" customWidth="1"/>
    <col min="14" max="14" width="23.44140625" style="110" customWidth="1"/>
    <col min="15" max="15" width="12.5546875" style="110" customWidth="1"/>
    <col min="16" max="16" width="23.6640625" style="111" customWidth="1"/>
    <col min="17" max="17" width="8.109375" style="111" bestFit="1" customWidth="1"/>
    <col min="18" max="18" width="15.44140625" style="112" customWidth="1"/>
    <col min="19" max="19" width="15.6640625" style="107" customWidth="1"/>
    <col min="20" max="29" width="11.44140625" style="107" customWidth="1"/>
    <col min="30" max="50" width="11.44140625" style="107"/>
    <col min="51" max="51" width="11.44140625" style="113"/>
    <col min="52" max="195" width="11.44140625" style="107"/>
    <col min="196" max="196" width="4.6640625" style="107" customWidth="1"/>
    <col min="197" max="197" width="4.88671875" style="107" customWidth="1"/>
    <col min="198" max="200" width="4.6640625" style="107" customWidth="1"/>
    <col min="201" max="201" width="4" style="107" bestFit="1" customWidth="1"/>
    <col min="202" max="202" width="44.5546875" style="107" customWidth="1"/>
    <col min="203" max="203" width="19.33203125" style="107" customWidth="1"/>
    <col min="204" max="204" width="23.88671875" style="107" customWidth="1"/>
    <col min="205" max="205" width="16.44140625" style="107" customWidth="1"/>
    <col min="206" max="206" width="15.6640625" style="107" bestFit="1" customWidth="1"/>
    <col min="207" max="207" width="53.44140625" style="107" customWidth="1"/>
    <col min="208" max="208" width="13.5546875" style="107" customWidth="1"/>
    <col min="209" max="209" width="42.5546875" style="107" customWidth="1"/>
    <col min="210" max="210" width="12.109375" style="107" customWidth="1"/>
    <col min="211" max="211" width="11.44140625" style="107"/>
    <col min="212" max="212" width="11.88671875" style="107" customWidth="1"/>
    <col min="213" max="16384" width="11.44140625" style="107"/>
  </cols>
  <sheetData>
    <row r="1" spans="1:51" ht="19.5" customHeight="1" x14ac:dyDescent="0.3">
      <c r="A1" s="317" t="s">
        <v>252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</row>
    <row r="2" spans="1:51" ht="19.5" customHeight="1" x14ac:dyDescent="0.3">
      <c r="A2" s="317"/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</row>
    <row r="3" spans="1:51" ht="19.2" thickBot="1" x14ac:dyDescent="0.35">
      <c r="A3" s="317" t="s">
        <v>227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</row>
    <row r="4" spans="1:51" ht="24.6" thickBot="1" x14ac:dyDescent="0.35">
      <c r="A4" s="321" t="s">
        <v>301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3"/>
      <c r="R4" s="114"/>
    </row>
    <row r="5" spans="1:51" ht="15.75" customHeight="1" thickBot="1" x14ac:dyDescent="0.35">
      <c r="A5" s="318" t="s">
        <v>24</v>
      </c>
      <c r="B5" s="319"/>
      <c r="C5" s="319"/>
      <c r="D5" s="319"/>
      <c r="E5" s="319"/>
      <c r="F5" s="319"/>
      <c r="G5" s="319"/>
      <c r="H5" s="320"/>
      <c r="I5" s="246" t="s">
        <v>213</v>
      </c>
      <c r="J5" s="247" t="s">
        <v>214</v>
      </c>
      <c r="K5" s="247"/>
      <c r="L5" s="247" t="s">
        <v>251</v>
      </c>
      <c r="M5" s="247" t="s">
        <v>215</v>
      </c>
      <c r="N5" s="248" t="s">
        <v>216</v>
      </c>
      <c r="O5" s="248"/>
      <c r="P5" s="249" t="s">
        <v>217</v>
      </c>
      <c r="Q5" s="250"/>
      <c r="R5" s="114"/>
    </row>
    <row r="6" spans="1:51" ht="22.5" customHeight="1" x14ac:dyDescent="0.3">
      <c r="A6" s="332" t="s">
        <v>0</v>
      </c>
      <c r="B6" s="334" t="s">
        <v>62</v>
      </c>
      <c r="C6" s="334" t="s">
        <v>61</v>
      </c>
      <c r="D6" s="334" t="s">
        <v>1</v>
      </c>
      <c r="E6" s="334" t="s">
        <v>60</v>
      </c>
      <c r="F6" s="334" t="s">
        <v>59</v>
      </c>
      <c r="G6" s="334" t="s">
        <v>58</v>
      </c>
      <c r="H6" s="324" t="s">
        <v>3</v>
      </c>
      <c r="I6" s="324" t="s">
        <v>23</v>
      </c>
      <c r="J6" s="324" t="s">
        <v>17</v>
      </c>
      <c r="K6" s="324" t="s">
        <v>229</v>
      </c>
      <c r="L6" s="324" t="s">
        <v>210</v>
      </c>
      <c r="M6" s="324" t="s">
        <v>204</v>
      </c>
      <c r="N6" s="326" t="s">
        <v>20</v>
      </c>
      <c r="O6" s="326" t="s">
        <v>230</v>
      </c>
      <c r="P6" s="328" t="s">
        <v>21</v>
      </c>
      <c r="Q6" s="330" t="s">
        <v>231</v>
      </c>
      <c r="R6" s="114"/>
    </row>
    <row r="7" spans="1:51" ht="15.75" customHeight="1" thickBot="1" x14ac:dyDescent="0.35">
      <c r="A7" s="333"/>
      <c r="B7" s="335"/>
      <c r="C7" s="335"/>
      <c r="D7" s="335"/>
      <c r="E7" s="335"/>
      <c r="F7" s="335"/>
      <c r="G7" s="335"/>
      <c r="H7" s="325"/>
      <c r="I7" s="325"/>
      <c r="J7" s="325"/>
      <c r="K7" s="325"/>
      <c r="L7" s="325"/>
      <c r="M7" s="325"/>
      <c r="N7" s="327"/>
      <c r="O7" s="327"/>
      <c r="P7" s="329"/>
      <c r="Q7" s="331"/>
      <c r="R7" s="114"/>
    </row>
    <row r="8" spans="1:51" s="121" customFormat="1" x14ac:dyDescent="0.3">
      <c r="A8" s="268">
        <v>1</v>
      </c>
      <c r="B8" s="115"/>
      <c r="C8" s="269"/>
      <c r="D8" s="115"/>
      <c r="E8" s="269"/>
      <c r="F8" s="115"/>
      <c r="G8" s="115"/>
      <c r="H8" s="116" t="s">
        <v>4</v>
      </c>
      <c r="I8" s="117">
        <f>+I9</f>
        <v>66681300000</v>
      </c>
      <c r="J8" s="117">
        <f>+J9</f>
        <v>18436266437.650002</v>
      </c>
      <c r="K8" s="118">
        <f>+J8/I8</f>
        <v>0.27648330847853897</v>
      </c>
      <c r="L8" s="117">
        <f>+L9</f>
        <v>39950533562.349998</v>
      </c>
      <c r="M8" s="117">
        <f>+M9</f>
        <v>0</v>
      </c>
      <c r="N8" s="117">
        <f t="shared" ref="N8" si="0">+N9</f>
        <v>18430114730.650002</v>
      </c>
      <c r="O8" s="118">
        <f>+N8/I8</f>
        <v>0.27639105312358941</v>
      </c>
      <c r="P8" s="117">
        <f>+P9</f>
        <v>18386308754.650002</v>
      </c>
      <c r="Q8" s="119">
        <f>+P8/I8</f>
        <v>0.27573410768311357</v>
      </c>
      <c r="R8" s="120"/>
      <c r="AY8" s="122"/>
    </row>
    <row r="9" spans="1:51" x14ac:dyDescent="0.3">
      <c r="A9" s="270" t="s">
        <v>67</v>
      </c>
      <c r="B9" s="271" t="s">
        <v>67</v>
      </c>
      <c r="C9" s="271"/>
      <c r="D9" s="271"/>
      <c r="E9" s="271"/>
      <c r="F9" s="271"/>
      <c r="G9" s="271"/>
      <c r="H9" s="123" t="s">
        <v>68</v>
      </c>
      <c r="I9" s="124">
        <f>+I10+I19+I27+I36</f>
        <v>66681300000</v>
      </c>
      <c r="J9" s="124">
        <f>+J10+J19+J27</f>
        <v>18436266437.650002</v>
      </c>
      <c r="K9" s="125">
        <f t="shared" ref="K9:K78" si="1">+J9/I9</f>
        <v>0.27648330847853897</v>
      </c>
      <c r="L9" s="124">
        <f>+L10+L19+L27</f>
        <v>39950533562.349998</v>
      </c>
      <c r="M9" s="124">
        <f>+M10+M19+M27+M36</f>
        <v>0</v>
      </c>
      <c r="N9" s="124">
        <f t="shared" ref="N9" si="2">+N10+N19+N27</f>
        <v>18430114730.650002</v>
      </c>
      <c r="O9" s="125">
        <f t="shared" ref="O9:O78" si="3">+N9/I9</f>
        <v>0.27639105312358941</v>
      </c>
      <c r="P9" s="124">
        <f>+P10+P19+P27</f>
        <v>18386308754.650002</v>
      </c>
      <c r="Q9" s="126">
        <f t="shared" ref="Q9:Q78" si="4">+P9/I9</f>
        <v>0.27573410768311357</v>
      </c>
      <c r="S9" s="127"/>
    </row>
    <row r="10" spans="1:51" x14ac:dyDescent="0.3">
      <c r="A10" s="128" t="s">
        <v>67</v>
      </c>
      <c r="B10" s="129" t="s">
        <v>67</v>
      </c>
      <c r="C10" s="129" t="s">
        <v>67</v>
      </c>
      <c r="D10" s="129"/>
      <c r="E10" s="129"/>
      <c r="F10" s="129"/>
      <c r="G10" s="129"/>
      <c r="H10" s="130" t="s">
        <v>69</v>
      </c>
      <c r="I10" s="131">
        <f>+I11</f>
        <v>40005200000</v>
      </c>
      <c r="J10" s="131">
        <f>+J11</f>
        <v>12473060378</v>
      </c>
      <c r="K10" s="132">
        <f t="shared" si="1"/>
        <v>0.31178597727295454</v>
      </c>
      <c r="L10" s="131">
        <f>+L12+L13+L14+L15+L16+L17+L18</f>
        <v>27532139622</v>
      </c>
      <c r="M10" s="131">
        <f>+M12+M13+M14+M15+M16+M17+M18</f>
        <v>0</v>
      </c>
      <c r="N10" s="131">
        <f t="shared" ref="N10" si="5">+N12+N13+N14+N15+N16+N17+N18</f>
        <v>12468147656</v>
      </c>
      <c r="O10" s="132">
        <f t="shared" si="3"/>
        <v>0.31166317518722564</v>
      </c>
      <c r="P10" s="131">
        <f>+P12+P13+P14+P15+P16+P17+P18</f>
        <v>12446504846</v>
      </c>
      <c r="Q10" s="133">
        <f t="shared" si="4"/>
        <v>0.31112217526721525</v>
      </c>
    </row>
    <row r="11" spans="1:51" x14ac:dyDescent="0.3">
      <c r="A11" s="272" t="s">
        <v>67</v>
      </c>
      <c r="B11" s="273" t="s">
        <v>67</v>
      </c>
      <c r="C11" s="273" t="s">
        <v>67</v>
      </c>
      <c r="D11" s="134" t="s">
        <v>70</v>
      </c>
      <c r="E11" s="135"/>
      <c r="F11" s="135"/>
      <c r="G11" s="135"/>
      <c r="H11" s="136" t="s">
        <v>71</v>
      </c>
      <c r="I11" s="137">
        <f>+I12+I13+I14+I15+I16+I17+I18</f>
        <v>40005200000</v>
      </c>
      <c r="J11" s="137">
        <f>+J12+J13+J14+J15+J16+J17+J18</f>
        <v>12473060378</v>
      </c>
      <c r="K11" s="138">
        <f t="shared" si="1"/>
        <v>0.31178597727295454</v>
      </c>
      <c r="L11" s="137">
        <f t="shared" ref="L11:N11" si="6">+L12+L13+L14+L15+L16+L17+L18</f>
        <v>27532139622</v>
      </c>
      <c r="M11" s="151">
        <f t="shared" si="6"/>
        <v>0</v>
      </c>
      <c r="N11" s="137">
        <f t="shared" si="6"/>
        <v>12468147656</v>
      </c>
      <c r="O11" s="139">
        <f t="shared" si="3"/>
        <v>0.31166317518722564</v>
      </c>
      <c r="P11" s="137">
        <f>+P12+P13+P14+P15+P16+P17+P18</f>
        <v>12446504846</v>
      </c>
      <c r="Q11" s="140">
        <f t="shared" si="4"/>
        <v>0.31112217526721525</v>
      </c>
    </row>
    <row r="12" spans="1:51" x14ac:dyDescent="0.3">
      <c r="A12" s="274" t="s">
        <v>67</v>
      </c>
      <c r="B12" s="275" t="s">
        <v>67</v>
      </c>
      <c r="C12" s="275" t="s">
        <v>67</v>
      </c>
      <c r="D12" s="141" t="s">
        <v>70</v>
      </c>
      <c r="E12" s="276" t="s">
        <v>70</v>
      </c>
      <c r="F12" s="135"/>
      <c r="G12" s="135"/>
      <c r="H12" s="142" t="s">
        <v>72</v>
      </c>
      <c r="I12" s="143">
        <f>+'EJ. DESAGREGADA'!T5</f>
        <v>27102300000</v>
      </c>
      <c r="J12" s="144">
        <f>+'EJ. DESAGREGADA'!X5</f>
        <v>9472936398</v>
      </c>
      <c r="K12" s="138">
        <f t="shared" si="1"/>
        <v>0.34952518413566375</v>
      </c>
      <c r="L12" s="144">
        <f>+'EJ. DESAGREGADA'!AB5</f>
        <v>17629363602</v>
      </c>
      <c r="M12" s="315">
        <f>+'EJ. DESAGREGADA'!W5</f>
        <v>0</v>
      </c>
      <c r="N12" s="144">
        <f>+'EJ. DESAGREGADA'!Y5</f>
        <v>9468023676</v>
      </c>
      <c r="O12" s="145">
        <f t="shared" si="3"/>
        <v>0.34934391826523947</v>
      </c>
      <c r="P12" s="144">
        <f>+'EJ. DESAGREGADA'!AA5</f>
        <v>9468023676</v>
      </c>
      <c r="Q12" s="146">
        <f t="shared" si="4"/>
        <v>0.34934391826523947</v>
      </c>
    </row>
    <row r="13" spans="1:51" x14ac:dyDescent="0.3">
      <c r="A13" s="274" t="s">
        <v>67</v>
      </c>
      <c r="B13" s="275" t="s">
        <v>67</v>
      </c>
      <c r="C13" s="275" t="s">
        <v>67</v>
      </c>
      <c r="D13" s="141" t="s">
        <v>70</v>
      </c>
      <c r="E13" s="276" t="s">
        <v>73</v>
      </c>
      <c r="F13" s="135"/>
      <c r="G13" s="135"/>
      <c r="H13" s="142" t="s">
        <v>79</v>
      </c>
      <c r="I13" s="143">
        <f>+'EJ. DESAGREGADA'!T6</f>
        <v>5318000000</v>
      </c>
      <c r="J13" s="144">
        <f>+'EJ. DESAGREGADA'!X6</f>
        <v>2155280534</v>
      </c>
      <c r="K13" s="138">
        <f t="shared" si="1"/>
        <v>0.40528028093268148</v>
      </c>
      <c r="L13" s="144">
        <f>+'EJ. DESAGREGADA'!AB6</f>
        <v>3162719466</v>
      </c>
      <c r="M13" s="315">
        <f>+'EJ. DESAGREGADA'!W6</f>
        <v>0</v>
      </c>
      <c r="N13" s="144">
        <f>+'EJ. DESAGREGADA'!Y6</f>
        <v>2155280534</v>
      </c>
      <c r="O13" s="145">
        <f t="shared" si="3"/>
        <v>0.40528028093268148</v>
      </c>
      <c r="P13" s="144">
        <f>+'EJ. DESAGREGADA'!AA6</f>
        <v>2155280534</v>
      </c>
      <c r="Q13" s="146">
        <f t="shared" si="4"/>
        <v>0.40528028093268148</v>
      </c>
    </row>
    <row r="14" spans="1:51" x14ac:dyDescent="0.3">
      <c r="A14" s="274" t="s">
        <v>67</v>
      </c>
      <c r="B14" s="275" t="s">
        <v>67</v>
      </c>
      <c r="C14" s="275" t="s">
        <v>67</v>
      </c>
      <c r="D14" s="141" t="s">
        <v>70</v>
      </c>
      <c r="E14" s="276" t="s">
        <v>74</v>
      </c>
      <c r="F14" s="135"/>
      <c r="G14" s="135"/>
      <c r="H14" s="142" t="s">
        <v>5</v>
      </c>
      <c r="I14" s="143">
        <f>+'EJ. DESAGREGADA'!T7</f>
        <v>1545000000</v>
      </c>
      <c r="J14" s="144">
        <f>+'EJ. DESAGREGADA'!X7</f>
        <v>32553213</v>
      </c>
      <c r="K14" s="138">
        <f t="shared" si="1"/>
        <v>2.107004077669903E-2</v>
      </c>
      <c r="L14" s="144">
        <f>+'EJ. DESAGREGADA'!AB7</f>
        <v>1512446787</v>
      </c>
      <c r="M14" s="315">
        <f>+'EJ. DESAGREGADA'!W7</f>
        <v>0</v>
      </c>
      <c r="N14" s="144">
        <f>+'EJ. DESAGREGADA'!Y7</f>
        <v>32553213</v>
      </c>
      <c r="O14" s="145">
        <f t="shared" si="3"/>
        <v>2.107004077669903E-2</v>
      </c>
      <c r="P14" s="144">
        <f>+'EJ. DESAGREGADA'!AA7</f>
        <v>28853013</v>
      </c>
      <c r="Q14" s="146">
        <f t="shared" si="4"/>
        <v>1.867508932038835E-2</v>
      </c>
    </row>
    <row r="15" spans="1:51" x14ac:dyDescent="0.3">
      <c r="A15" s="274" t="s">
        <v>67</v>
      </c>
      <c r="B15" s="275" t="s">
        <v>67</v>
      </c>
      <c r="C15" s="275" t="s">
        <v>67</v>
      </c>
      <c r="D15" s="141" t="s">
        <v>70</v>
      </c>
      <c r="E15" s="276" t="s">
        <v>75</v>
      </c>
      <c r="F15" s="135"/>
      <c r="G15" s="135"/>
      <c r="H15" s="142" t="s">
        <v>80</v>
      </c>
      <c r="I15" s="143">
        <f>+'EJ. DESAGREGADA'!T8</f>
        <v>1138000000</v>
      </c>
      <c r="J15" s="144">
        <f>+'EJ. DESAGREGADA'!X8</f>
        <v>387325823</v>
      </c>
      <c r="K15" s="138">
        <f t="shared" si="1"/>
        <v>0.34035661072056239</v>
      </c>
      <c r="L15" s="144">
        <f>+'EJ. DESAGREGADA'!AB8</f>
        <v>750674177</v>
      </c>
      <c r="M15" s="315">
        <f>+'EJ. DESAGREGADA'!W8</f>
        <v>0</v>
      </c>
      <c r="N15" s="144">
        <f>+'EJ. DESAGREGADA'!Y8</f>
        <v>387325823</v>
      </c>
      <c r="O15" s="145">
        <f t="shared" si="3"/>
        <v>0.34035661072056239</v>
      </c>
      <c r="P15" s="144">
        <f>+'EJ. DESAGREGADA'!AA8</f>
        <v>385599504</v>
      </c>
      <c r="Q15" s="146">
        <f t="shared" si="4"/>
        <v>0.3388396344463972</v>
      </c>
    </row>
    <row r="16" spans="1:51" ht="21.6" x14ac:dyDescent="0.3">
      <c r="A16" s="274" t="s">
        <v>67</v>
      </c>
      <c r="B16" s="275" t="s">
        <v>67</v>
      </c>
      <c r="C16" s="275" t="s">
        <v>67</v>
      </c>
      <c r="D16" s="141" t="s">
        <v>70</v>
      </c>
      <c r="E16" s="276" t="s">
        <v>76</v>
      </c>
      <c r="F16" s="135"/>
      <c r="G16" s="135"/>
      <c r="H16" s="142" t="s">
        <v>81</v>
      </c>
      <c r="I16" s="143">
        <f>+'EJ. DESAGREGADA'!T9</f>
        <v>17900000</v>
      </c>
      <c r="J16" s="144">
        <f>+'EJ. DESAGREGADA'!X9</f>
        <v>0</v>
      </c>
      <c r="K16" s="287">
        <f>+J16/I16</f>
        <v>0</v>
      </c>
      <c r="L16" s="144">
        <f>+'EJ. DESAGREGADA'!AB9</f>
        <v>17900000</v>
      </c>
      <c r="M16" s="315">
        <f>+'EJ. DESAGREGADA'!W9</f>
        <v>0</v>
      </c>
      <c r="N16" s="144">
        <f>+'EJ. DESAGREGADA'!Y9</f>
        <v>0</v>
      </c>
      <c r="O16" s="145">
        <f t="shared" si="3"/>
        <v>0</v>
      </c>
      <c r="P16" s="144">
        <f>+'EJ. DESAGREGADA'!AA9</f>
        <v>0</v>
      </c>
      <c r="Q16" s="146">
        <f t="shared" si="4"/>
        <v>0</v>
      </c>
    </row>
    <row r="17" spans="1:51" x14ac:dyDescent="0.3">
      <c r="A17" s="274" t="s">
        <v>67</v>
      </c>
      <c r="B17" s="275" t="s">
        <v>67</v>
      </c>
      <c r="C17" s="275" t="s">
        <v>67</v>
      </c>
      <c r="D17" s="141" t="s">
        <v>70</v>
      </c>
      <c r="E17" s="276" t="s">
        <v>77</v>
      </c>
      <c r="F17" s="135"/>
      <c r="G17" s="135"/>
      <c r="H17" s="142" t="s">
        <v>7</v>
      </c>
      <c r="I17" s="143">
        <f>+'EJ. DESAGREGADA'!T10</f>
        <v>3218000000</v>
      </c>
      <c r="J17" s="144">
        <f>+'EJ. DESAGREGADA'!X10</f>
        <v>15078251</v>
      </c>
      <c r="K17" s="138">
        <f t="shared" si="1"/>
        <v>4.685596954630205E-3</v>
      </c>
      <c r="L17" s="144">
        <f>+'EJ. DESAGREGADA'!AB10</f>
        <v>3202921749</v>
      </c>
      <c r="M17" s="315">
        <f>+'EJ. DESAGREGADA'!W10</f>
        <v>0</v>
      </c>
      <c r="N17" s="144">
        <f>+'EJ. DESAGREGADA'!Y10</f>
        <v>15078251</v>
      </c>
      <c r="O17" s="145">
        <f t="shared" si="3"/>
        <v>4.685596954630205E-3</v>
      </c>
      <c r="P17" s="144">
        <f>+'EJ. DESAGREGADA'!AA10</f>
        <v>12475366</v>
      </c>
      <c r="Q17" s="146">
        <f t="shared" si="4"/>
        <v>3.8767451833436918E-3</v>
      </c>
    </row>
    <row r="18" spans="1:51" x14ac:dyDescent="0.3">
      <c r="A18" s="274" t="s">
        <v>67</v>
      </c>
      <c r="B18" s="275" t="s">
        <v>67</v>
      </c>
      <c r="C18" s="275" t="s">
        <v>67</v>
      </c>
      <c r="D18" s="141" t="s">
        <v>70</v>
      </c>
      <c r="E18" s="276" t="s">
        <v>78</v>
      </c>
      <c r="F18" s="135"/>
      <c r="G18" s="135"/>
      <c r="H18" s="142" t="s">
        <v>6</v>
      </c>
      <c r="I18" s="143">
        <f>+'EJ. DESAGREGADA'!T11</f>
        <v>1666000000</v>
      </c>
      <c r="J18" s="144">
        <f>+'EJ. DESAGREGADA'!X11</f>
        <v>409886159</v>
      </c>
      <c r="K18" s="138">
        <f t="shared" si="1"/>
        <v>0.24603010744297718</v>
      </c>
      <c r="L18" s="144">
        <f>+'EJ. DESAGREGADA'!AB11</f>
        <v>1256113841</v>
      </c>
      <c r="M18" s="315">
        <f>+'EJ. DESAGREGADA'!W11</f>
        <v>0</v>
      </c>
      <c r="N18" s="144">
        <f>+'EJ. DESAGREGADA'!Y11</f>
        <v>409886159</v>
      </c>
      <c r="O18" s="145">
        <f t="shared" si="3"/>
        <v>0.24603010744297718</v>
      </c>
      <c r="P18" s="144">
        <f>+'EJ. DESAGREGADA'!AA11</f>
        <v>396272753</v>
      </c>
      <c r="Q18" s="146">
        <f t="shared" si="4"/>
        <v>0.23785879531812726</v>
      </c>
    </row>
    <row r="19" spans="1:51" ht="21.6" x14ac:dyDescent="0.3">
      <c r="A19" s="128" t="s">
        <v>67</v>
      </c>
      <c r="B19" s="129" t="s">
        <v>67</v>
      </c>
      <c r="C19" s="129" t="s">
        <v>83</v>
      </c>
      <c r="D19" s="129"/>
      <c r="E19" s="129"/>
      <c r="F19" s="129"/>
      <c r="G19" s="129"/>
      <c r="H19" s="130" t="s">
        <v>82</v>
      </c>
      <c r="I19" s="131">
        <f>+I20+I21+I22+I23+I24+I25+I26</f>
        <v>13920200000</v>
      </c>
      <c r="J19" s="131">
        <f>+J20+J21+J22+J23+J24+J25+J26</f>
        <v>4954574359.6499996</v>
      </c>
      <c r="K19" s="132">
        <f t="shared" si="1"/>
        <v>0.35592695217381931</v>
      </c>
      <c r="L19" s="131">
        <f>+L20+L21+L22+L23+L24+L25+L26</f>
        <v>8965625640.3500004</v>
      </c>
      <c r="M19" s="131">
        <f t="shared" ref="M19" si="7">+M20+M21+M22+M23+M24+M25+M26</f>
        <v>0</v>
      </c>
      <c r="N19" s="131">
        <f>+N20+N21+N22+N23+N24+N25+N26</f>
        <v>4954574359.6499996</v>
      </c>
      <c r="O19" s="132">
        <f t="shared" si="3"/>
        <v>0.35592695217381931</v>
      </c>
      <c r="P19" s="131">
        <f>+P20+P21+P22+P23+P24+P25+P26</f>
        <v>4954521859.6499996</v>
      </c>
      <c r="Q19" s="133">
        <f t="shared" si="4"/>
        <v>0.35592318067628337</v>
      </c>
      <c r="R19" s="147"/>
    </row>
    <row r="20" spans="1:51" x14ac:dyDescent="0.3">
      <c r="A20" s="274" t="s">
        <v>67</v>
      </c>
      <c r="B20" s="275" t="s">
        <v>67</v>
      </c>
      <c r="C20" s="275" t="s">
        <v>83</v>
      </c>
      <c r="D20" s="141" t="s">
        <v>70</v>
      </c>
      <c r="E20" s="276"/>
      <c r="F20" s="135"/>
      <c r="G20" s="135"/>
      <c r="H20" s="142" t="s">
        <v>218</v>
      </c>
      <c r="I20" s="143">
        <f>+'EJ. DESAGREGADA'!T12</f>
        <v>4082290000</v>
      </c>
      <c r="J20" s="144">
        <f>+'EJ. DESAGREGADA'!X12</f>
        <v>1490595819</v>
      </c>
      <c r="K20" s="138">
        <f t="shared" si="1"/>
        <v>0.36513717031372095</v>
      </c>
      <c r="L20" s="144">
        <f>+'EJ. DESAGREGADA'!AB12</f>
        <v>2591694181</v>
      </c>
      <c r="M20" s="315">
        <f>+'EJ. DESAGREGADA'!W12</f>
        <v>0</v>
      </c>
      <c r="N20" s="144">
        <f>+'EJ. DESAGREGADA'!Y12</f>
        <v>1490595819</v>
      </c>
      <c r="O20" s="145">
        <f t="shared" si="3"/>
        <v>0.36513717031372095</v>
      </c>
      <c r="P20" s="144">
        <f>+'EJ. DESAGREGADA'!AA12</f>
        <v>1490595819</v>
      </c>
      <c r="Q20" s="146">
        <f t="shared" si="4"/>
        <v>0.36513717031372095</v>
      </c>
      <c r="R20" s="147"/>
    </row>
    <row r="21" spans="1:51" x14ac:dyDescent="0.3">
      <c r="A21" s="274" t="s">
        <v>67</v>
      </c>
      <c r="B21" s="275" t="s">
        <v>67</v>
      </c>
      <c r="C21" s="275" t="s">
        <v>83</v>
      </c>
      <c r="D21" s="141" t="s">
        <v>84</v>
      </c>
      <c r="E21" s="276"/>
      <c r="F21" s="135"/>
      <c r="G21" s="135"/>
      <c r="H21" s="142" t="s">
        <v>219</v>
      </c>
      <c r="I21" s="143">
        <f>+'EJ. DESAGREGADA'!T13</f>
        <v>2420290000</v>
      </c>
      <c r="J21" s="144">
        <f>+'EJ. DESAGREGADA'!X13</f>
        <v>1055588056</v>
      </c>
      <c r="K21" s="138">
        <f t="shared" si="1"/>
        <v>0.43614114672208704</v>
      </c>
      <c r="L21" s="144">
        <f>+'EJ. DESAGREGADA'!AB13</f>
        <v>1364701944</v>
      </c>
      <c r="M21" s="315">
        <f>+'EJ. DESAGREGADA'!W13</f>
        <v>0</v>
      </c>
      <c r="N21" s="144">
        <f>+'EJ. DESAGREGADA'!Y13</f>
        <v>1055588056</v>
      </c>
      <c r="O21" s="145">
        <f t="shared" si="3"/>
        <v>0.43614114672208704</v>
      </c>
      <c r="P21" s="144">
        <f>+'EJ. DESAGREGADA'!AA13</f>
        <v>1055588056</v>
      </c>
      <c r="Q21" s="146">
        <f t="shared" si="4"/>
        <v>0.43614114672208704</v>
      </c>
      <c r="R21" s="147"/>
    </row>
    <row r="22" spans="1:51" x14ac:dyDescent="0.3">
      <c r="A22" s="274" t="s">
        <v>67</v>
      </c>
      <c r="B22" s="275" t="s">
        <v>67</v>
      </c>
      <c r="C22" s="275" t="s">
        <v>83</v>
      </c>
      <c r="D22" s="141" t="s">
        <v>73</v>
      </c>
      <c r="E22" s="276"/>
      <c r="F22" s="135"/>
      <c r="G22" s="135"/>
      <c r="H22" s="142" t="s">
        <v>136</v>
      </c>
      <c r="I22" s="143">
        <f>+'EJ. DESAGREGADA'!T14</f>
        <v>3374290000</v>
      </c>
      <c r="J22" s="144">
        <f>+'EJ. DESAGREGADA'!X14</f>
        <v>1204294584.6500001</v>
      </c>
      <c r="K22" s="138">
        <f t="shared" si="1"/>
        <v>0.35690310692027066</v>
      </c>
      <c r="L22" s="144">
        <f>+'EJ. DESAGREGADA'!AB14</f>
        <v>2169995415.3499999</v>
      </c>
      <c r="M22" s="315">
        <f>+'EJ. DESAGREGADA'!W14</f>
        <v>0</v>
      </c>
      <c r="N22" s="144">
        <f>+'EJ. DESAGREGADA'!Y14</f>
        <v>1204294584.6500001</v>
      </c>
      <c r="O22" s="145">
        <f t="shared" si="3"/>
        <v>0.35690310692027066</v>
      </c>
      <c r="P22" s="144">
        <f>+'EJ. DESAGREGADA'!AA14</f>
        <v>1204294584.6500001</v>
      </c>
      <c r="Q22" s="146">
        <f t="shared" si="4"/>
        <v>0.35690310692027066</v>
      </c>
      <c r="R22" s="147"/>
      <c r="AX22" s="113"/>
      <c r="AY22" s="107"/>
    </row>
    <row r="23" spans="1:51" x14ac:dyDescent="0.3">
      <c r="A23" s="274" t="s">
        <v>67</v>
      </c>
      <c r="B23" s="275" t="s">
        <v>67</v>
      </c>
      <c r="C23" s="275" t="s">
        <v>83</v>
      </c>
      <c r="D23" s="141" t="s">
        <v>85</v>
      </c>
      <c r="E23" s="276"/>
      <c r="F23" s="135"/>
      <c r="G23" s="135"/>
      <c r="H23" s="142" t="s">
        <v>220</v>
      </c>
      <c r="I23" s="143">
        <f>+'EJ. DESAGREGADA'!T15</f>
        <v>1698290000</v>
      </c>
      <c r="J23" s="144">
        <f>+'EJ. DESAGREGADA'!X15</f>
        <v>507749800</v>
      </c>
      <c r="K23" s="138">
        <f t="shared" si="1"/>
        <v>0.29897708871865231</v>
      </c>
      <c r="L23" s="144">
        <f>+'EJ. DESAGREGADA'!AB15</f>
        <v>1190540200</v>
      </c>
      <c r="M23" s="315">
        <f>+'EJ. DESAGREGADA'!W15</f>
        <v>0</v>
      </c>
      <c r="N23" s="144">
        <f>+'EJ. DESAGREGADA'!Y15</f>
        <v>507749800</v>
      </c>
      <c r="O23" s="145">
        <f t="shared" si="3"/>
        <v>0.29897708871865231</v>
      </c>
      <c r="P23" s="144">
        <f>+'EJ. DESAGREGADA'!AA15</f>
        <v>507749800</v>
      </c>
      <c r="Q23" s="146">
        <f t="shared" si="4"/>
        <v>0.29897708871865231</v>
      </c>
      <c r="R23" s="147"/>
    </row>
    <row r="24" spans="1:51" ht="21.6" x14ac:dyDescent="0.3">
      <c r="A24" s="274" t="s">
        <v>67</v>
      </c>
      <c r="B24" s="275" t="s">
        <v>67</v>
      </c>
      <c r="C24" s="275" t="s">
        <v>83</v>
      </c>
      <c r="D24" s="141" t="s">
        <v>86</v>
      </c>
      <c r="E24" s="276"/>
      <c r="F24" s="135"/>
      <c r="G24" s="135"/>
      <c r="H24" s="142" t="s">
        <v>87</v>
      </c>
      <c r="I24" s="143">
        <f>+'EJ. DESAGREGADA'!T16</f>
        <v>254460000</v>
      </c>
      <c r="J24" s="144">
        <f>+'EJ. DESAGREGADA'!X16</f>
        <v>61622900</v>
      </c>
      <c r="K24" s="138">
        <f t="shared" si="1"/>
        <v>0.24217126463884303</v>
      </c>
      <c r="L24" s="144">
        <f>+'EJ. DESAGREGADA'!AB16</f>
        <v>192837100</v>
      </c>
      <c r="M24" s="315">
        <f>+'EJ. DESAGREGADA'!W16</f>
        <v>0</v>
      </c>
      <c r="N24" s="144">
        <f>+'EJ. DESAGREGADA'!Y16</f>
        <v>61622900</v>
      </c>
      <c r="O24" s="145">
        <f t="shared" si="3"/>
        <v>0.24217126463884303</v>
      </c>
      <c r="P24" s="144">
        <f>+'EJ. DESAGREGADA'!AA16</f>
        <v>61570400</v>
      </c>
      <c r="Q24" s="146">
        <f t="shared" si="4"/>
        <v>0.2419649453745186</v>
      </c>
    </row>
    <row r="25" spans="1:51" x14ac:dyDescent="0.3">
      <c r="A25" s="274" t="s">
        <v>67</v>
      </c>
      <c r="B25" s="275" t="s">
        <v>67</v>
      </c>
      <c r="C25" s="275" t="s">
        <v>83</v>
      </c>
      <c r="D25" s="141" t="s">
        <v>74</v>
      </c>
      <c r="E25" s="276"/>
      <c r="F25" s="135"/>
      <c r="G25" s="135"/>
      <c r="H25" s="142" t="s">
        <v>88</v>
      </c>
      <c r="I25" s="143">
        <f>+'EJ. DESAGREGADA'!T17</f>
        <v>1238290000</v>
      </c>
      <c r="J25" s="144">
        <f>+'EJ. DESAGREGADA'!X17</f>
        <v>380827300</v>
      </c>
      <c r="K25" s="138">
        <f t="shared" si="1"/>
        <v>0.30754290190504646</v>
      </c>
      <c r="L25" s="144">
        <f>+'EJ. DESAGREGADA'!AB17</f>
        <v>857462700</v>
      </c>
      <c r="M25" s="315">
        <f>+'EJ. DESAGREGADA'!W17</f>
        <v>0</v>
      </c>
      <c r="N25" s="144">
        <f>+'EJ. DESAGREGADA'!Y17</f>
        <v>380827300</v>
      </c>
      <c r="O25" s="145">
        <f t="shared" si="3"/>
        <v>0.30754290190504646</v>
      </c>
      <c r="P25" s="144">
        <f>+'EJ. DESAGREGADA'!AA17</f>
        <v>380827300</v>
      </c>
      <c r="Q25" s="146">
        <f t="shared" si="4"/>
        <v>0.30754290190504646</v>
      </c>
    </row>
    <row r="26" spans="1:51" x14ac:dyDescent="0.3">
      <c r="A26" s="274" t="s">
        <v>67</v>
      </c>
      <c r="B26" s="275" t="s">
        <v>67</v>
      </c>
      <c r="C26" s="275" t="s">
        <v>83</v>
      </c>
      <c r="D26" s="141" t="s">
        <v>75</v>
      </c>
      <c r="E26" s="276"/>
      <c r="F26" s="135"/>
      <c r="G26" s="135"/>
      <c r="H26" s="142" t="s">
        <v>8</v>
      </c>
      <c r="I26" s="143">
        <f>+'EJ. DESAGREGADA'!T18</f>
        <v>852290000</v>
      </c>
      <c r="J26" s="144">
        <f>+'EJ. DESAGREGADA'!X18</f>
        <v>253895900</v>
      </c>
      <c r="K26" s="138">
        <f t="shared" si="1"/>
        <v>0.29789848525736545</v>
      </c>
      <c r="L26" s="144">
        <f>+'EJ. DESAGREGADA'!AB18</f>
        <v>598394100</v>
      </c>
      <c r="M26" s="315">
        <f>+'EJ. DESAGREGADA'!W18</f>
        <v>0</v>
      </c>
      <c r="N26" s="144">
        <f>+'EJ. DESAGREGADA'!Y18</f>
        <v>253895900</v>
      </c>
      <c r="O26" s="145">
        <f t="shared" si="3"/>
        <v>0.29789848525736545</v>
      </c>
      <c r="P26" s="144">
        <f>+'EJ. DESAGREGADA'!AA18</f>
        <v>253895900</v>
      </c>
      <c r="Q26" s="146">
        <f t="shared" si="4"/>
        <v>0.29789848525736545</v>
      </c>
    </row>
    <row r="27" spans="1:51" s="121" customFormat="1" ht="41.25" customHeight="1" x14ac:dyDescent="0.3">
      <c r="A27" s="128" t="s">
        <v>67</v>
      </c>
      <c r="B27" s="129" t="s">
        <v>67</v>
      </c>
      <c r="C27" s="129" t="s">
        <v>89</v>
      </c>
      <c r="D27" s="129"/>
      <c r="E27" s="129"/>
      <c r="F27" s="129"/>
      <c r="G27" s="129"/>
      <c r="H27" s="130" t="s">
        <v>90</v>
      </c>
      <c r="I27" s="131">
        <f>+I29+I30+I31+I32+I33+I34+I35</f>
        <v>4461400000</v>
      </c>
      <c r="J27" s="131">
        <f>+J29+J30+J31+J32+J33+J34+J35</f>
        <v>1008631700</v>
      </c>
      <c r="K27" s="132">
        <f t="shared" si="1"/>
        <v>0.22607963867844175</v>
      </c>
      <c r="L27" s="131">
        <f t="shared" ref="L27:N27" si="8">+L29+L30+L31+L32+L33+L34+L35</f>
        <v>3452768300</v>
      </c>
      <c r="M27" s="131">
        <f>+M29+M30+M31+M32+M33+M34+M35</f>
        <v>0</v>
      </c>
      <c r="N27" s="131">
        <f t="shared" si="8"/>
        <v>1007392715</v>
      </c>
      <c r="O27" s="132">
        <f t="shared" si="3"/>
        <v>0.22580192652530595</v>
      </c>
      <c r="P27" s="131">
        <f>+P29+P30+P31+P32+P33+P34+P35</f>
        <v>985282049</v>
      </c>
      <c r="Q27" s="133">
        <f t="shared" si="4"/>
        <v>0.22084593378760031</v>
      </c>
      <c r="R27" s="148"/>
      <c r="AY27" s="122"/>
    </row>
    <row r="28" spans="1:51" ht="21.6" x14ac:dyDescent="0.3">
      <c r="A28" s="272" t="s">
        <v>67</v>
      </c>
      <c r="B28" s="273" t="s">
        <v>67</v>
      </c>
      <c r="C28" s="273" t="s">
        <v>89</v>
      </c>
      <c r="D28" s="134" t="s">
        <v>70</v>
      </c>
      <c r="E28" s="149" t="s">
        <v>33</v>
      </c>
      <c r="F28" s="135"/>
      <c r="G28" s="135"/>
      <c r="H28" s="150" t="s">
        <v>93</v>
      </c>
      <c r="I28" s="151">
        <f>+I29+I30+I31</f>
        <v>2677000000</v>
      </c>
      <c r="J28" s="151">
        <f t="shared" ref="J28:N28" si="9">+J29+J30+J31</f>
        <v>623377697</v>
      </c>
      <c r="K28" s="138">
        <f t="shared" si="1"/>
        <v>0.23286428726186029</v>
      </c>
      <c r="L28" s="151">
        <f t="shared" si="9"/>
        <v>2053622303</v>
      </c>
      <c r="M28" s="151">
        <f>+M29+M30+M31</f>
        <v>0</v>
      </c>
      <c r="N28" s="151">
        <f t="shared" si="9"/>
        <v>623377697</v>
      </c>
      <c r="O28" s="138">
        <f t="shared" si="3"/>
        <v>0.23286428726186029</v>
      </c>
      <c r="P28" s="151">
        <f>+P29+P30+P31</f>
        <v>601267031</v>
      </c>
      <c r="Q28" s="152">
        <f t="shared" si="4"/>
        <v>0.2246047930519238</v>
      </c>
    </row>
    <row r="29" spans="1:51" x14ac:dyDescent="0.3">
      <c r="A29" s="274" t="s">
        <v>67</v>
      </c>
      <c r="B29" s="275" t="s">
        <v>67</v>
      </c>
      <c r="C29" s="275" t="s">
        <v>89</v>
      </c>
      <c r="D29" s="141" t="s">
        <v>70</v>
      </c>
      <c r="E29" s="141" t="s">
        <v>70</v>
      </c>
      <c r="F29" s="135"/>
      <c r="G29" s="135"/>
      <c r="H29" s="142" t="s">
        <v>221</v>
      </c>
      <c r="I29" s="153">
        <f>+'EJ. DESAGREGADA'!T19</f>
        <v>1797000000</v>
      </c>
      <c r="J29" s="144">
        <f>+'EJ. DESAGREGADA'!X19</f>
        <v>589091264</v>
      </c>
      <c r="K29" s="138">
        <f t="shared" si="1"/>
        <v>0.32781928992765719</v>
      </c>
      <c r="L29" s="144">
        <f>+'EJ. DESAGREGADA'!AB19</f>
        <v>1207908736</v>
      </c>
      <c r="M29" s="315">
        <f>+'EJ. DESAGREGADA'!W19</f>
        <v>0</v>
      </c>
      <c r="N29" s="144">
        <f>+'EJ. DESAGREGADA'!Y19</f>
        <v>589091264</v>
      </c>
      <c r="O29" s="145">
        <f t="shared" si="3"/>
        <v>0.32781928992765719</v>
      </c>
      <c r="P29" s="144">
        <f>+'EJ. DESAGREGADA'!AA19</f>
        <v>568604227</v>
      </c>
      <c r="Q29" s="146">
        <f t="shared" si="4"/>
        <v>0.31641860155815249</v>
      </c>
    </row>
    <row r="30" spans="1:51" x14ac:dyDescent="0.3">
      <c r="A30" s="274" t="s">
        <v>67</v>
      </c>
      <c r="B30" s="275" t="s">
        <v>67</v>
      </c>
      <c r="C30" s="275" t="s">
        <v>89</v>
      </c>
      <c r="D30" s="141" t="s">
        <v>70</v>
      </c>
      <c r="E30" s="141" t="s">
        <v>84</v>
      </c>
      <c r="F30" s="135"/>
      <c r="G30" s="135"/>
      <c r="H30" s="142" t="s">
        <v>30</v>
      </c>
      <c r="I30" s="153">
        <f>+'EJ. DESAGREGADA'!T20</f>
        <v>700000000</v>
      </c>
      <c r="J30" s="144">
        <f>+'EJ. DESAGREGADA'!X20</f>
        <v>0</v>
      </c>
      <c r="K30" s="138">
        <f t="shared" si="1"/>
        <v>0</v>
      </c>
      <c r="L30" s="144">
        <f>+'EJ. DESAGREGADA'!AB20</f>
        <v>700000000</v>
      </c>
      <c r="M30" s="315">
        <f>+'EJ. DESAGREGADA'!W20</f>
        <v>0</v>
      </c>
      <c r="N30" s="144">
        <f>+'EJ. DESAGREGADA'!Y20</f>
        <v>0</v>
      </c>
      <c r="O30" s="145">
        <f t="shared" si="3"/>
        <v>0</v>
      </c>
      <c r="P30" s="144">
        <f>+'EJ. DESAGREGADA'!AA20</f>
        <v>0</v>
      </c>
      <c r="Q30" s="146">
        <f t="shared" si="4"/>
        <v>0</v>
      </c>
    </row>
    <row r="31" spans="1:51" x14ac:dyDescent="0.3">
      <c r="A31" s="274" t="s">
        <v>67</v>
      </c>
      <c r="B31" s="275" t="s">
        <v>67</v>
      </c>
      <c r="C31" s="275" t="s">
        <v>89</v>
      </c>
      <c r="D31" s="141" t="s">
        <v>70</v>
      </c>
      <c r="E31" s="141" t="s">
        <v>73</v>
      </c>
      <c r="F31" s="135"/>
      <c r="G31" s="135"/>
      <c r="H31" s="142" t="s">
        <v>31</v>
      </c>
      <c r="I31" s="153">
        <f>+'EJ. DESAGREGADA'!T21</f>
        <v>180000000</v>
      </c>
      <c r="J31" s="144">
        <f>+'EJ. DESAGREGADA'!X21</f>
        <v>34286433</v>
      </c>
      <c r="K31" s="138">
        <f t="shared" si="1"/>
        <v>0.19048018333333333</v>
      </c>
      <c r="L31" s="144">
        <f>+'EJ. DESAGREGADA'!AB21</f>
        <v>145713567</v>
      </c>
      <c r="M31" s="315">
        <f>+'EJ. DESAGREGADA'!W21</f>
        <v>0</v>
      </c>
      <c r="N31" s="144">
        <f>+'EJ. DESAGREGADA'!Y21</f>
        <v>34286433</v>
      </c>
      <c r="O31" s="145">
        <f t="shared" si="3"/>
        <v>0.19048018333333333</v>
      </c>
      <c r="P31" s="144">
        <f>+'EJ. DESAGREGADA'!AA21</f>
        <v>32662804</v>
      </c>
      <c r="Q31" s="146">
        <f t="shared" si="4"/>
        <v>0.18146002222222221</v>
      </c>
    </row>
    <row r="32" spans="1:51" x14ac:dyDescent="0.3">
      <c r="A32" s="274" t="s">
        <v>67</v>
      </c>
      <c r="B32" s="275" t="s">
        <v>67</v>
      </c>
      <c r="C32" s="275" t="s">
        <v>89</v>
      </c>
      <c r="D32" s="141" t="s">
        <v>84</v>
      </c>
      <c r="E32" s="141"/>
      <c r="F32" s="135"/>
      <c r="G32" s="135"/>
      <c r="H32" s="142" t="s">
        <v>94</v>
      </c>
      <c r="I32" s="153">
        <f>+'EJ. DESAGREGADA'!T22</f>
        <v>1388952000</v>
      </c>
      <c r="J32" s="144">
        <f>+'EJ. DESAGREGADA'!X22</f>
        <v>340413772</v>
      </c>
      <c r="K32" s="138">
        <f t="shared" si="1"/>
        <v>0.24508677909675786</v>
      </c>
      <c r="L32" s="144">
        <f>+'EJ. DESAGREGADA'!AB22</f>
        <v>1048538228</v>
      </c>
      <c r="M32" s="315">
        <f>+'EJ. DESAGREGADA'!W22</f>
        <v>0</v>
      </c>
      <c r="N32" s="144">
        <f>+'EJ. DESAGREGADA'!Y22</f>
        <v>339174787</v>
      </c>
      <c r="O32" s="145">
        <f t="shared" si="3"/>
        <v>0.24419475043054042</v>
      </c>
      <c r="P32" s="144">
        <f>+'EJ. DESAGREGADA'!AA22</f>
        <v>339174787</v>
      </c>
      <c r="Q32" s="146">
        <f t="shared" si="4"/>
        <v>0.24419475043054042</v>
      </c>
    </row>
    <row r="33" spans="1:51" x14ac:dyDescent="0.3">
      <c r="A33" s="274" t="s">
        <v>67</v>
      </c>
      <c r="B33" s="275" t="s">
        <v>67</v>
      </c>
      <c r="C33" s="275" t="s">
        <v>89</v>
      </c>
      <c r="D33" s="141">
        <v>13</v>
      </c>
      <c r="E33" s="141"/>
      <c r="F33" s="135"/>
      <c r="G33" s="135"/>
      <c r="H33" s="142" t="s">
        <v>95</v>
      </c>
      <c r="I33" s="153">
        <f>+'EJ. DESAGREGADA'!T23</f>
        <v>180000000</v>
      </c>
      <c r="J33" s="144">
        <f>+'EJ. DESAGREGADA'!X23</f>
        <v>0</v>
      </c>
      <c r="K33" s="138">
        <f t="shared" si="1"/>
        <v>0</v>
      </c>
      <c r="L33" s="144">
        <f>+'EJ. DESAGREGADA'!AB23</f>
        <v>180000000</v>
      </c>
      <c r="M33" s="315">
        <f>+'EJ. DESAGREGADA'!W23</f>
        <v>0</v>
      </c>
      <c r="N33" s="144">
        <f>+'EJ. DESAGREGADA'!Y23</f>
        <v>0</v>
      </c>
      <c r="O33" s="145">
        <f t="shared" si="3"/>
        <v>0</v>
      </c>
      <c r="P33" s="144">
        <f>+'EJ. DESAGREGADA'!AA23</f>
        <v>0</v>
      </c>
      <c r="Q33" s="146">
        <f t="shared" si="4"/>
        <v>0</v>
      </c>
    </row>
    <row r="34" spans="1:51" x14ac:dyDescent="0.3">
      <c r="A34" s="274" t="s">
        <v>67</v>
      </c>
      <c r="B34" s="275" t="s">
        <v>67</v>
      </c>
      <c r="C34" s="275" t="s">
        <v>89</v>
      </c>
      <c r="D34" s="141" t="s">
        <v>91</v>
      </c>
      <c r="E34" s="141"/>
      <c r="F34" s="135"/>
      <c r="G34" s="135"/>
      <c r="H34" s="142" t="s">
        <v>96</v>
      </c>
      <c r="I34" s="153">
        <f>+'EJ. DESAGREGADA'!T24</f>
        <v>84000000</v>
      </c>
      <c r="J34" s="144">
        <f>+'EJ. DESAGREGADA'!X24</f>
        <v>44840231</v>
      </c>
      <c r="K34" s="138">
        <f t="shared" si="1"/>
        <v>0.53381227380952379</v>
      </c>
      <c r="L34" s="144">
        <f>+'EJ. DESAGREGADA'!AB24</f>
        <v>39159769</v>
      </c>
      <c r="M34" s="315">
        <f>+'EJ. DESAGREGADA'!W24</f>
        <v>0</v>
      </c>
      <c r="N34" s="144">
        <f>+'EJ. DESAGREGADA'!Y24</f>
        <v>44840231</v>
      </c>
      <c r="O34" s="145">
        <f t="shared" si="3"/>
        <v>0.53381227380952379</v>
      </c>
      <c r="P34" s="144">
        <f>+'EJ. DESAGREGADA'!AA24</f>
        <v>44840231</v>
      </c>
      <c r="Q34" s="146">
        <f t="shared" si="4"/>
        <v>0.53381227380952379</v>
      </c>
    </row>
    <row r="35" spans="1:51" x14ac:dyDescent="0.3">
      <c r="A35" s="274" t="s">
        <v>67</v>
      </c>
      <c r="B35" s="275" t="s">
        <v>67</v>
      </c>
      <c r="C35" s="275" t="s">
        <v>89</v>
      </c>
      <c r="D35" s="141" t="s">
        <v>92</v>
      </c>
      <c r="E35" s="141"/>
      <c r="F35" s="135"/>
      <c r="G35" s="135"/>
      <c r="H35" s="142" t="s">
        <v>97</v>
      </c>
      <c r="I35" s="153">
        <f>+'EJ. DESAGREGADA'!T25</f>
        <v>131448000</v>
      </c>
      <c r="J35" s="144">
        <f>+'EJ. DESAGREGADA'!X25</f>
        <v>0</v>
      </c>
      <c r="K35" s="138">
        <f t="shared" si="1"/>
        <v>0</v>
      </c>
      <c r="L35" s="144">
        <f>+'EJ. DESAGREGADA'!AB25</f>
        <v>131448000</v>
      </c>
      <c r="M35" s="315">
        <f>+'EJ. DESAGREGADA'!W25</f>
        <v>0</v>
      </c>
      <c r="N35" s="144">
        <f>+'EJ. DESAGREGADA'!Y25</f>
        <v>0</v>
      </c>
      <c r="O35" s="145">
        <f t="shared" si="3"/>
        <v>0</v>
      </c>
      <c r="P35" s="144">
        <f>+'EJ. DESAGREGADA'!AA25</f>
        <v>0</v>
      </c>
      <c r="Q35" s="146">
        <f t="shared" si="4"/>
        <v>0</v>
      </c>
    </row>
    <row r="36" spans="1:51" s="121" customFormat="1" ht="21.6" x14ac:dyDescent="0.3">
      <c r="A36" s="277" t="s">
        <v>67</v>
      </c>
      <c r="B36" s="278" t="s">
        <v>67</v>
      </c>
      <c r="C36" s="278">
        <v>4</v>
      </c>
      <c r="D36" s="129"/>
      <c r="E36" s="129"/>
      <c r="F36" s="129"/>
      <c r="G36" s="129"/>
      <c r="H36" s="130" t="s">
        <v>290</v>
      </c>
      <c r="I36" s="131">
        <f>'EJ. AGREGADA'!T8</f>
        <v>8294500000</v>
      </c>
      <c r="J36" s="131">
        <f>'EJ. AGREGADA'!X8</f>
        <v>0</v>
      </c>
      <c r="K36" s="132">
        <f t="shared" si="1"/>
        <v>0</v>
      </c>
      <c r="L36" s="131"/>
      <c r="M36" s="131">
        <f>'EJ. AGREGADA'!W8</f>
        <v>0</v>
      </c>
      <c r="N36" s="131">
        <f>'EJ. AGREGADA'!Y8</f>
        <v>0</v>
      </c>
      <c r="O36" s="132"/>
      <c r="P36" s="131">
        <f>'EJ. AGREGADA'!AA8</f>
        <v>0</v>
      </c>
      <c r="Q36" s="133"/>
      <c r="R36" s="148"/>
      <c r="AY36" s="122"/>
    </row>
    <row r="37" spans="1:51" s="121" customFormat="1" x14ac:dyDescent="0.3">
      <c r="A37" s="268">
        <v>2</v>
      </c>
      <c r="B37" s="115" t="s">
        <v>33</v>
      </c>
      <c r="C37" s="269" t="s">
        <v>33</v>
      </c>
      <c r="D37" s="115" t="s">
        <v>33</v>
      </c>
      <c r="E37" s="269"/>
      <c r="F37" s="115"/>
      <c r="G37" s="115"/>
      <c r="H37" s="116" t="s">
        <v>98</v>
      </c>
      <c r="I37" s="117">
        <f>I38+I43</f>
        <v>18832000000</v>
      </c>
      <c r="J37" s="117">
        <f>J38+J43</f>
        <v>14739962062.220001</v>
      </c>
      <c r="K37" s="118">
        <f t="shared" si="1"/>
        <v>0.78270826583581143</v>
      </c>
      <c r="L37" s="117">
        <f>+L38+L43</f>
        <v>3530555903.2700005</v>
      </c>
      <c r="M37" s="117">
        <f>+M38+M43</f>
        <v>561482034.50999999</v>
      </c>
      <c r="N37" s="117">
        <f>N38+N43</f>
        <v>5251221813.8499994</v>
      </c>
      <c r="O37" s="118">
        <f>+N37/I37</f>
        <v>0.27884567830554374</v>
      </c>
      <c r="P37" s="117">
        <f>+P38</f>
        <v>5205692781.8499994</v>
      </c>
      <c r="Q37" s="119">
        <f t="shared" si="4"/>
        <v>0.27642803641939251</v>
      </c>
      <c r="R37" s="120"/>
      <c r="AY37" s="122"/>
    </row>
    <row r="38" spans="1:51" x14ac:dyDescent="0.3">
      <c r="A38" s="277">
        <v>2</v>
      </c>
      <c r="B38" s="278">
        <v>1</v>
      </c>
      <c r="C38" s="278"/>
      <c r="D38" s="165"/>
      <c r="E38" s="154"/>
      <c r="F38" s="166"/>
      <c r="G38" s="166"/>
      <c r="H38" s="130" t="s">
        <v>99</v>
      </c>
      <c r="I38" s="131">
        <f>+I41</f>
        <v>70000000</v>
      </c>
      <c r="J38" s="131">
        <f>+J39</f>
        <v>0</v>
      </c>
      <c r="K38" s="132">
        <f t="shared" si="1"/>
        <v>0</v>
      </c>
      <c r="L38" s="131">
        <f>+L39</f>
        <v>70000000</v>
      </c>
      <c r="M38" s="131">
        <f>+M39</f>
        <v>0</v>
      </c>
      <c r="N38" s="131">
        <f>+N41</f>
        <v>0</v>
      </c>
      <c r="O38" s="132">
        <f t="shared" ref="O38:O40" si="10">+N38/I38</f>
        <v>0</v>
      </c>
      <c r="P38" s="131">
        <f>+P44+P48+P56+P61+P66+P70+P77+P82</f>
        <v>5205692781.8499994</v>
      </c>
      <c r="Q38" s="133">
        <f>+P38/I38</f>
        <v>74.367039740714276</v>
      </c>
      <c r="R38" s="148"/>
      <c r="S38" s="167"/>
    </row>
    <row r="39" spans="1:51" s="121" customFormat="1" ht="50.25" customHeight="1" x14ac:dyDescent="0.3">
      <c r="A39" s="272">
        <v>2</v>
      </c>
      <c r="B39" s="273">
        <v>1</v>
      </c>
      <c r="C39" s="134">
        <v>1</v>
      </c>
      <c r="D39" s="134"/>
      <c r="E39" s="135"/>
      <c r="F39" s="135"/>
      <c r="G39" s="135"/>
      <c r="H39" s="158" t="s">
        <v>295</v>
      </c>
      <c r="I39" s="169">
        <f>+I40</f>
        <v>70000000</v>
      </c>
      <c r="J39" s="169">
        <f>+J40</f>
        <v>0</v>
      </c>
      <c r="K39" s="162">
        <f t="shared" si="1"/>
        <v>0</v>
      </c>
      <c r="L39" s="169">
        <f>+L40</f>
        <v>70000000</v>
      </c>
      <c r="M39" s="169">
        <f>+M40</f>
        <v>0</v>
      </c>
      <c r="N39" s="169">
        <f>+N40</f>
        <v>0</v>
      </c>
      <c r="O39" s="162">
        <f t="shared" si="10"/>
        <v>0</v>
      </c>
      <c r="P39" s="169">
        <f>+P40</f>
        <v>0</v>
      </c>
      <c r="Q39" s="163">
        <f t="shared" ref="Q39:Q41" si="11">+P39/I39</f>
        <v>0</v>
      </c>
      <c r="R39" s="112"/>
      <c r="AY39" s="122"/>
    </row>
    <row r="40" spans="1:51" s="121" customFormat="1" ht="50.25" customHeight="1" x14ac:dyDescent="0.3">
      <c r="A40" s="272">
        <v>2</v>
      </c>
      <c r="B40" s="273">
        <v>1</v>
      </c>
      <c r="C40" s="273">
        <v>1</v>
      </c>
      <c r="D40" s="134">
        <v>4</v>
      </c>
      <c r="E40" s="135"/>
      <c r="F40" s="135"/>
      <c r="G40" s="135"/>
      <c r="H40" s="158" t="s">
        <v>296</v>
      </c>
      <c r="I40" s="169">
        <f>+I41</f>
        <v>70000000</v>
      </c>
      <c r="J40" s="169">
        <f>+J41</f>
        <v>0</v>
      </c>
      <c r="K40" s="162">
        <f t="shared" si="1"/>
        <v>0</v>
      </c>
      <c r="L40" s="169">
        <f>L41</f>
        <v>70000000</v>
      </c>
      <c r="M40" s="169"/>
      <c r="N40" s="169"/>
      <c r="O40" s="162">
        <f t="shared" si="10"/>
        <v>0</v>
      </c>
      <c r="P40" s="169"/>
      <c r="Q40" s="163">
        <f t="shared" si="11"/>
        <v>0</v>
      </c>
      <c r="R40" s="112"/>
      <c r="AY40" s="122"/>
    </row>
    <row r="41" spans="1:51" ht="21.6" x14ac:dyDescent="0.3">
      <c r="A41" s="274">
        <v>2</v>
      </c>
      <c r="B41" s="275">
        <v>1</v>
      </c>
      <c r="C41" s="275">
        <v>1</v>
      </c>
      <c r="D41" s="141">
        <v>4</v>
      </c>
      <c r="E41" s="141">
        <v>7</v>
      </c>
      <c r="F41" s="135"/>
      <c r="G41" s="135"/>
      <c r="H41" s="161" t="s">
        <v>297</v>
      </c>
      <c r="I41" s="153">
        <f>+'EJ. DESAGREGADA'!T26</f>
        <v>70000000</v>
      </c>
      <c r="J41" s="153">
        <f>+'EJ. DESAGREGADA'!X26</f>
        <v>0</v>
      </c>
      <c r="K41" s="162">
        <f t="shared" ref="K41" si="12">+J41/I41</f>
        <v>0</v>
      </c>
      <c r="L41" s="153">
        <f>+'EJ. DESAGREGADA'!AB26</f>
        <v>70000000</v>
      </c>
      <c r="M41" s="153">
        <f>+'EJ. DESAGREGADA'!W26</f>
        <v>0</v>
      </c>
      <c r="N41" s="153">
        <f>+'EJ. DESAGREGADA'!Y26</f>
        <v>0</v>
      </c>
      <c r="O41" s="162">
        <f>+N41/I41</f>
        <v>0</v>
      </c>
      <c r="P41" s="153">
        <f>+'EJ. DESAGREGADA'!Z26</f>
        <v>0</v>
      </c>
      <c r="Q41" s="163">
        <f t="shared" si="11"/>
        <v>0</v>
      </c>
    </row>
    <row r="42" spans="1:51" x14ac:dyDescent="0.3">
      <c r="A42" s="277">
        <v>2</v>
      </c>
      <c r="B42" s="278">
        <v>2</v>
      </c>
      <c r="C42" s="278"/>
      <c r="D42" s="165"/>
      <c r="E42" s="154"/>
      <c r="F42" s="166"/>
      <c r="G42" s="166"/>
      <c r="H42" s="130" t="s">
        <v>99</v>
      </c>
      <c r="I42" s="131">
        <f>+I43</f>
        <v>18762000000</v>
      </c>
      <c r="J42" s="131">
        <f>+J43</f>
        <v>14739962062.220001</v>
      </c>
      <c r="K42" s="132">
        <f t="shared" ref="K42" si="13">+J42/I42</f>
        <v>0.78562850774011306</v>
      </c>
      <c r="L42" s="131">
        <f>+L43</f>
        <v>3460555903.2700005</v>
      </c>
      <c r="M42" s="131">
        <f>+M43</f>
        <v>561482034.50999999</v>
      </c>
      <c r="N42" s="131">
        <f>+N43</f>
        <v>5251221813.8499994</v>
      </c>
      <c r="O42" s="132">
        <f t="shared" ref="O42" si="14">+N42/I42</f>
        <v>0.27988603634207437</v>
      </c>
      <c r="P42" s="131">
        <f>+P43</f>
        <v>5205692781.8499994</v>
      </c>
      <c r="Q42" s="133">
        <f>+P42/I42</f>
        <v>0.27745937436573925</v>
      </c>
      <c r="R42" s="148"/>
      <c r="S42" s="167"/>
    </row>
    <row r="43" spans="1:51" s="121" customFormat="1" ht="14.25" customHeight="1" x14ac:dyDescent="0.3">
      <c r="A43" s="272">
        <v>2</v>
      </c>
      <c r="B43" s="273">
        <v>2</v>
      </c>
      <c r="C43" s="273">
        <v>1</v>
      </c>
      <c r="D43" s="168"/>
      <c r="E43" s="149"/>
      <c r="F43" s="135"/>
      <c r="G43" s="135"/>
      <c r="H43" s="158" t="s">
        <v>238</v>
      </c>
      <c r="I43" s="151">
        <f>+I44+I48+I56+I61+I66+I70+I77+I82</f>
        <v>18762000000</v>
      </c>
      <c r="J43" s="151">
        <f>+J44+J48+J56+J61+J66+J70+J77+J82</f>
        <v>14739962062.220001</v>
      </c>
      <c r="K43" s="159">
        <f>+J43/I43</f>
        <v>0.78562850774011306</v>
      </c>
      <c r="L43" s="151">
        <f>+L44+L48+L56+L61+L66+L70+L77+L82</f>
        <v>3460555903.2700005</v>
      </c>
      <c r="M43" s="151">
        <f>+M44+M48+M56+M61+M66+M70+M77+M82</f>
        <v>561482034.50999999</v>
      </c>
      <c r="N43" s="151">
        <f>+N44+N48+N56+N61+N66+N70+N77+N82</f>
        <v>5251221813.8499994</v>
      </c>
      <c r="O43" s="159">
        <f>+N43/I43</f>
        <v>0.27988603634207437</v>
      </c>
      <c r="P43" s="151">
        <f>+P44+P48+P56+P61+P66+P70+P77+P82</f>
        <v>5205692781.8499994</v>
      </c>
      <c r="Q43" s="160">
        <f>+P43/I43</f>
        <v>0.27745937436573925</v>
      </c>
      <c r="R43" s="120" t="e">
        <f>+J43+#REF!</f>
        <v>#REF!</v>
      </c>
      <c r="S43" s="167"/>
      <c r="AY43" s="122"/>
    </row>
    <row r="44" spans="1:51" s="121" customFormat="1" ht="50.25" customHeight="1" x14ac:dyDescent="0.3">
      <c r="A44" s="272">
        <v>2</v>
      </c>
      <c r="B44" s="273">
        <v>2</v>
      </c>
      <c r="C44" s="273">
        <v>1</v>
      </c>
      <c r="D44" s="134">
        <v>2</v>
      </c>
      <c r="E44" s="135"/>
      <c r="F44" s="135"/>
      <c r="G44" s="135"/>
      <c r="H44" s="158" t="s">
        <v>100</v>
      </c>
      <c r="I44" s="169">
        <f>+SUM(I45:I47)</f>
        <v>11310741</v>
      </c>
      <c r="J44" s="169">
        <f>+SUM(J45:J47)</f>
        <v>5913216.7799999993</v>
      </c>
      <c r="K44" s="159">
        <f>+J44/I44</f>
        <v>0.52279658600616874</v>
      </c>
      <c r="L44" s="169">
        <f>+SUM(L45:L47)</f>
        <v>3781736</v>
      </c>
      <c r="M44" s="169">
        <f>+SUM(M45:M47)</f>
        <v>1615788.22</v>
      </c>
      <c r="N44" s="169">
        <f>+SUM(N45:N47)</f>
        <v>3123244.53</v>
      </c>
      <c r="O44" s="159">
        <f>+N44/I44</f>
        <v>0.27613085031299006</v>
      </c>
      <c r="P44" s="169">
        <f>+SUM(P45:P47)</f>
        <v>3123244.53</v>
      </c>
      <c r="Q44" s="160">
        <f>+P44/I44</f>
        <v>0.27613085031299006</v>
      </c>
      <c r="R44" s="112"/>
      <c r="AY44" s="122"/>
    </row>
    <row r="45" spans="1:51" ht="32.4" x14ac:dyDescent="0.3">
      <c r="A45" s="274">
        <v>2</v>
      </c>
      <c r="B45" s="275">
        <v>2</v>
      </c>
      <c r="C45" s="275">
        <v>1</v>
      </c>
      <c r="D45" s="141">
        <v>2</v>
      </c>
      <c r="E45" s="141">
        <v>3</v>
      </c>
      <c r="F45" s="135"/>
      <c r="G45" s="135"/>
      <c r="H45" s="161" t="s">
        <v>157</v>
      </c>
      <c r="I45" s="153">
        <f>+'EJ. DESAGREGADA'!T27</f>
        <v>4319775</v>
      </c>
      <c r="J45" s="153">
        <f>+'EJ. DESAGREGADA'!X27</f>
        <v>2330900</v>
      </c>
      <c r="K45" s="162">
        <f t="shared" si="1"/>
        <v>0.53958828874189046</v>
      </c>
      <c r="L45" s="153">
        <f>+'EJ. DESAGREGADA'!AB27</f>
        <v>1988875</v>
      </c>
      <c r="M45" s="153">
        <f>+'EJ. DESAGREGADA'!W27</f>
        <v>0</v>
      </c>
      <c r="N45" s="153">
        <f>+'EJ. DESAGREGADA'!Y27</f>
        <v>2330900</v>
      </c>
      <c r="O45" s="162">
        <f>+N45/I45</f>
        <v>0.53958828874189046</v>
      </c>
      <c r="P45" s="153">
        <f>+'EJ. DESAGREGADA'!AA27</f>
        <v>2330900</v>
      </c>
      <c r="Q45" s="163">
        <f t="shared" si="4"/>
        <v>0.53958828874189046</v>
      </c>
    </row>
    <row r="46" spans="1:51" ht="21.6" x14ac:dyDescent="0.3">
      <c r="A46" s="274">
        <v>2</v>
      </c>
      <c r="B46" s="275">
        <v>2</v>
      </c>
      <c r="C46" s="275">
        <v>1</v>
      </c>
      <c r="D46" s="141">
        <v>2</v>
      </c>
      <c r="E46" s="141">
        <v>6</v>
      </c>
      <c r="F46" s="135"/>
      <c r="G46" s="135"/>
      <c r="H46" s="161" t="s">
        <v>278</v>
      </c>
      <c r="I46" s="153">
        <f>+'EJ. DESAGREGADA'!T28</f>
        <v>6502054</v>
      </c>
      <c r="J46" s="153">
        <f>+'EJ. DESAGREGADA'!X28</f>
        <v>3331788.26</v>
      </c>
      <c r="K46" s="162">
        <f t="shared" si="1"/>
        <v>0.51242088423135213</v>
      </c>
      <c r="L46" s="153">
        <f>+'EJ. DESAGREGADA'!AB28-1502787.74</f>
        <v>1667478.0000000002</v>
      </c>
      <c r="M46" s="153">
        <f>+'EJ. DESAGREGADA'!W28+1502787.74</f>
        <v>1502787.74</v>
      </c>
      <c r="N46" s="153">
        <f>+'EJ. DESAGREGADA'!Y28</f>
        <v>702000.51</v>
      </c>
      <c r="O46" s="162">
        <f t="shared" ref="O46:O47" si="15">+N46/I46</f>
        <v>0.10796596121779364</v>
      </c>
      <c r="P46" s="153">
        <f>+'EJ. DESAGREGADA'!AA28</f>
        <v>702000.51</v>
      </c>
      <c r="Q46" s="163">
        <f t="shared" si="4"/>
        <v>0.10796596121779364</v>
      </c>
    </row>
    <row r="47" spans="1:51" ht="21.6" x14ac:dyDescent="0.3">
      <c r="A47" s="274">
        <v>2</v>
      </c>
      <c r="B47" s="275">
        <v>2</v>
      </c>
      <c r="C47" s="275">
        <v>1</v>
      </c>
      <c r="D47" s="141">
        <v>2</v>
      </c>
      <c r="E47" s="141">
        <v>7</v>
      </c>
      <c r="F47" s="135"/>
      <c r="G47" s="135"/>
      <c r="H47" s="161" t="s">
        <v>280</v>
      </c>
      <c r="I47" s="153">
        <f>+'EJ. DESAGREGADA'!T29</f>
        <v>488912</v>
      </c>
      <c r="J47" s="153">
        <f>+'EJ. DESAGREGADA'!X29</f>
        <v>250528.52</v>
      </c>
      <c r="K47" s="162">
        <f t="shared" si="1"/>
        <v>0.51242047648656608</v>
      </c>
      <c r="L47" s="153">
        <f>+'EJ. DESAGREGADA'!AB29-113000.48</f>
        <v>125383.00000000001</v>
      </c>
      <c r="M47" s="153">
        <f>+'EJ. DESAGREGADA'!W29+113000.48</f>
        <v>113000.48</v>
      </c>
      <c r="N47" s="153">
        <f>+'EJ. DESAGREGADA'!Y29</f>
        <v>90344.02</v>
      </c>
      <c r="O47" s="162">
        <f t="shared" si="15"/>
        <v>0.18478585103249665</v>
      </c>
      <c r="P47" s="153">
        <f>+'EJ. DESAGREGADA'!AA29</f>
        <v>90344.02</v>
      </c>
      <c r="Q47" s="163">
        <f t="shared" si="4"/>
        <v>0.18478585103249665</v>
      </c>
    </row>
    <row r="48" spans="1:51" s="121" customFormat="1" ht="32.4" x14ac:dyDescent="0.3">
      <c r="A48" s="279">
        <v>2</v>
      </c>
      <c r="B48" s="280">
        <v>2</v>
      </c>
      <c r="C48" s="280">
        <v>1</v>
      </c>
      <c r="D48" s="170">
        <v>3</v>
      </c>
      <c r="E48" s="135"/>
      <c r="F48" s="135"/>
      <c r="G48" s="135"/>
      <c r="H48" s="158" t="s">
        <v>101</v>
      </c>
      <c r="I48" s="169">
        <f>SUM(I49:I55)</f>
        <v>31990816</v>
      </c>
      <c r="J48" s="169">
        <f>SUM(J49:J55)</f>
        <v>14965209.48</v>
      </c>
      <c r="K48" s="159">
        <f>+J48/I48</f>
        <v>0.46779705400449928</v>
      </c>
      <c r="L48" s="169">
        <f>SUM(L49:L55)</f>
        <v>11279584</v>
      </c>
      <c r="M48" s="169">
        <f>SUM(M49:M55)</f>
        <v>5746022.5200000005</v>
      </c>
      <c r="N48" s="169">
        <f>SUM(N49:N55)</f>
        <v>4670449.68</v>
      </c>
      <c r="O48" s="159">
        <f>+N48/I48</f>
        <v>0.14599345262090219</v>
      </c>
      <c r="P48" s="169">
        <f>SUM(P49:P55)</f>
        <v>4670449.68</v>
      </c>
      <c r="Q48" s="159">
        <f>+P48/I48</f>
        <v>0.14599345262090219</v>
      </c>
      <c r="R48" s="120"/>
      <c r="AY48" s="122"/>
    </row>
    <row r="49" spans="1:51" s="121" customFormat="1" ht="21.6" x14ac:dyDescent="0.3">
      <c r="A49" s="281">
        <v>2</v>
      </c>
      <c r="B49" s="282">
        <v>2</v>
      </c>
      <c r="C49" s="282">
        <v>1</v>
      </c>
      <c r="D49" s="171">
        <v>3</v>
      </c>
      <c r="E49" s="171">
        <v>1</v>
      </c>
      <c r="F49" s="135"/>
      <c r="G49" s="135"/>
      <c r="H49" s="161" t="s">
        <v>282</v>
      </c>
      <c r="I49" s="153">
        <f>+'EJ. DESAGREGADA'!T30</f>
        <v>288997</v>
      </c>
      <c r="J49" s="153">
        <f>+'EJ. DESAGREGADA'!X30</f>
        <v>148087.96</v>
      </c>
      <c r="K49" s="162">
        <f t="shared" ref="K49:K56" si="16">+J49/I49</f>
        <v>0.5124204057481565</v>
      </c>
      <c r="L49" s="153">
        <f>+'EJ. DESAGREGADA'!AB30-66795.04</f>
        <v>74114.000000000015</v>
      </c>
      <c r="M49" s="153">
        <f>+'EJ. DESAGREGADA'!W30+66795.04</f>
        <v>66795.039999999994</v>
      </c>
      <c r="N49" s="153">
        <f>+'EJ. DESAGREGADA'!Y30</f>
        <v>30080.400000000001</v>
      </c>
      <c r="O49" s="162">
        <f t="shared" ref="O49:O56" si="17">+N49/I49</f>
        <v>0.1040855095381613</v>
      </c>
      <c r="P49" s="153">
        <f>+'EJ. DESAGREGADA'!AA30</f>
        <v>30080.400000000001</v>
      </c>
      <c r="Q49" s="163">
        <f t="shared" ref="Q49:Q55" si="18">+P49/I49</f>
        <v>0.1040855095381613</v>
      </c>
      <c r="R49" s="120"/>
      <c r="AY49" s="122"/>
    </row>
    <row r="50" spans="1:51" s="121" customFormat="1" ht="21.6" x14ac:dyDescent="0.3">
      <c r="A50" s="281">
        <v>2</v>
      </c>
      <c r="B50" s="282">
        <v>2</v>
      </c>
      <c r="C50" s="282">
        <v>1</v>
      </c>
      <c r="D50" s="171">
        <v>3</v>
      </c>
      <c r="E50" s="171">
        <v>2</v>
      </c>
      <c r="F50" s="135"/>
      <c r="G50" s="135"/>
      <c r="H50" s="161" t="s">
        <v>235</v>
      </c>
      <c r="I50" s="153">
        <f>+'EJ. DESAGREGADA'!T31</f>
        <v>13708511</v>
      </c>
      <c r="J50" s="153">
        <f>+'EJ. DESAGREGADA'!X31</f>
        <v>7024526.9500000002</v>
      </c>
      <c r="K50" s="162">
        <f t="shared" si="16"/>
        <v>0.51242085664883663</v>
      </c>
      <c r="L50" s="153">
        <f>+'EJ. DESAGREGADA'!AB31-3168382.05</f>
        <v>3515602</v>
      </c>
      <c r="M50" s="153">
        <f>+'EJ. DESAGREGADA'!W31+3168382.05</f>
        <v>3168382.05</v>
      </c>
      <c r="N50" s="153">
        <f>+'EJ. DESAGREGADA'!Y31</f>
        <v>2526324.61</v>
      </c>
      <c r="O50" s="162">
        <f t="shared" si="17"/>
        <v>0.18428876848842299</v>
      </c>
      <c r="P50" s="153">
        <f>+'EJ. DESAGREGADA'!AA31</f>
        <v>2526324.61</v>
      </c>
      <c r="Q50" s="163">
        <f t="shared" si="18"/>
        <v>0.18428876848842299</v>
      </c>
      <c r="R50" s="112"/>
      <c r="AY50" s="122"/>
    </row>
    <row r="51" spans="1:51" s="121" customFormat="1" ht="32.4" x14ac:dyDescent="0.3">
      <c r="A51" s="281">
        <v>2</v>
      </c>
      <c r="B51" s="282">
        <v>2</v>
      </c>
      <c r="C51" s="282">
        <v>1</v>
      </c>
      <c r="D51" s="171">
        <v>3</v>
      </c>
      <c r="E51" s="171">
        <v>3</v>
      </c>
      <c r="F51" s="135"/>
      <c r="G51" s="135"/>
      <c r="H51" s="161" t="s">
        <v>275</v>
      </c>
      <c r="I51" s="153">
        <f>+'EJ. DESAGREGADA'!T32</f>
        <v>1000000</v>
      </c>
      <c r="J51" s="153">
        <f>+'EJ. DESAGREGADA'!X32</f>
        <v>500000</v>
      </c>
      <c r="K51" s="162">
        <f t="shared" ref="K51" si="19">+J51/I51</f>
        <v>0.5</v>
      </c>
      <c r="L51" s="153">
        <f>+'EJ. DESAGREGADA'!AB32</f>
        <v>500000</v>
      </c>
      <c r="M51" s="153">
        <f>+'EJ. DESAGREGADA'!W32</f>
        <v>0</v>
      </c>
      <c r="N51" s="153">
        <f>+'EJ. DESAGREGADA'!Y32</f>
        <v>500000</v>
      </c>
      <c r="O51" s="162">
        <f t="shared" ref="O51" si="20">+N51/I51</f>
        <v>0.5</v>
      </c>
      <c r="P51" s="153">
        <f>+'EJ. DESAGREGADA'!AA32</f>
        <v>500000</v>
      </c>
      <c r="Q51" s="163">
        <f t="shared" ref="Q51" si="21">+P51/I51</f>
        <v>0.5</v>
      </c>
      <c r="R51" s="112"/>
      <c r="AY51" s="122"/>
    </row>
    <row r="52" spans="1:51" s="121" customFormat="1" x14ac:dyDescent="0.3">
      <c r="A52" s="281">
        <v>2</v>
      </c>
      <c r="B52" s="282">
        <v>2</v>
      </c>
      <c r="C52" s="282">
        <v>1</v>
      </c>
      <c r="D52" s="171">
        <v>3</v>
      </c>
      <c r="E52" s="171">
        <v>4</v>
      </c>
      <c r="F52" s="135"/>
      <c r="G52" s="135"/>
      <c r="H52" s="286" t="s">
        <v>284</v>
      </c>
      <c r="I52" s="153">
        <f>+'EJ. DESAGREGADA'!T33</f>
        <v>529754</v>
      </c>
      <c r="J52" s="153">
        <f>+'EJ. DESAGREGADA'!X33</f>
        <v>271457.03999999998</v>
      </c>
      <c r="K52" s="162">
        <f t="shared" si="16"/>
        <v>0.51242093500001884</v>
      </c>
      <c r="L52" s="153">
        <f>+'EJ. DESAGREGADA'!AB33-122438.96</f>
        <v>135858</v>
      </c>
      <c r="M52" s="153">
        <f>+'EJ. DESAGREGADA'!W33+122438.96</f>
        <v>122438.96</v>
      </c>
      <c r="N52" s="153">
        <f>+'EJ. DESAGREGADA'!Y33</f>
        <v>0</v>
      </c>
      <c r="O52" s="162">
        <f t="shared" si="17"/>
        <v>0</v>
      </c>
      <c r="P52" s="153">
        <f>+'EJ. DESAGREGADA'!AA33</f>
        <v>0</v>
      </c>
      <c r="Q52" s="163"/>
      <c r="R52" s="112"/>
      <c r="AY52" s="122"/>
    </row>
    <row r="53" spans="1:51" ht="32.4" x14ac:dyDescent="0.3">
      <c r="A53" s="274">
        <v>2</v>
      </c>
      <c r="B53" s="275">
        <v>2</v>
      </c>
      <c r="C53" s="275">
        <v>1</v>
      </c>
      <c r="D53" s="141">
        <v>3</v>
      </c>
      <c r="E53" s="141">
        <v>5</v>
      </c>
      <c r="F53" s="135"/>
      <c r="G53" s="135"/>
      <c r="H53" s="161" t="s">
        <v>188</v>
      </c>
      <c r="I53" s="153">
        <f>+'EJ. DESAGREGADA'!T34</f>
        <v>9812281</v>
      </c>
      <c r="J53" s="153">
        <f>+'EJ. DESAGREGADA'!X34</f>
        <v>5028017.1399999997</v>
      </c>
      <c r="K53" s="162">
        <f t="shared" si="16"/>
        <v>0.51242082651322352</v>
      </c>
      <c r="L53" s="153">
        <f>+'EJ. DESAGREGADA'!AB34-2267865.86</f>
        <v>2516398.0000000005</v>
      </c>
      <c r="M53" s="153">
        <f>+'EJ. DESAGREGADA'!W34+2267865.86</f>
        <v>2267865.86</v>
      </c>
      <c r="N53" s="153">
        <f>+'EJ. DESAGREGADA'!Y34</f>
        <v>1186818.75</v>
      </c>
      <c r="O53" s="162">
        <f t="shared" si="17"/>
        <v>0.12095238100091101</v>
      </c>
      <c r="P53" s="153">
        <f>+'EJ. DESAGREGADA'!AA34</f>
        <v>1186818.75</v>
      </c>
      <c r="Q53" s="163">
        <f t="shared" si="18"/>
        <v>0.12095238100091101</v>
      </c>
    </row>
    <row r="54" spans="1:51" x14ac:dyDescent="0.3">
      <c r="A54" s="274">
        <v>2</v>
      </c>
      <c r="B54" s="275">
        <v>2</v>
      </c>
      <c r="C54" s="275">
        <v>1</v>
      </c>
      <c r="D54" s="141">
        <v>3</v>
      </c>
      <c r="E54" s="141">
        <v>6</v>
      </c>
      <c r="F54" s="135"/>
      <c r="G54" s="135"/>
      <c r="H54" s="161" t="s">
        <v>190</v>
      </c>
      <c r="I54" s="153">
        <f>+'EJ. DESAGREGADA'!T35</f>
        <v>6129737</v>
      </c>
      <c r="J54" s="153">
        <f>+'EJ. DESAGREGADA'!X35</f>
        <v>1725874.5</v>
      </c>
      <c r="K54" s="162">
        <f t="shared" si="16"/>
        <v>0.28155767531298653</v>
      </c>
      <c r="L54" s="153">
        <f>+'EJ. DESAGREGADA'!AB35-0.5</f>
        <v>4403862</v>
      </c>
      <c r="M54" s="153">
        <f>+'EJ. DESAGREGADA'!W35+0.5</f>
        <v>0.5</v>
      </c>
      <c r="N54" s="153">
        <f>+'EJ. DESAGREGADA'!Y35</f>
        <v>366034.36</v>
      </c>
      <c r="O54" s="162">
        <f t="shared" si="17"/>
        <v>5.9714529350933E-2</v>
      </c>
      <c r="P54" s="153">
        <f>+'EJ. DESAGREGADA'!AA35</f>
        <v>366034.36</v>
      </c>
      <c r="Q54" s="163">
        <f t="shared" si="18"/>
        <v>5.9714529350933E-2</v>
      </c>
      <c r="R54" s="112">
        <v>778449.5</v>
      </c>
    </row>
    <row r="55" spans="1:51" x14ac:dyDescent="0.3">
      <c r="A55" s="274">
        <v>2</v>
      </c>
      <c r="B55" s="275">
        <v>2</v>
      </c>
      <c r="C55" s="275">
        <v>1</v>
      </c>
      <c r="D55" s="141">
        <v>3</v>
      </c>
      <c r="E55" s="141">
        <v>8</v>
      </c>
      <c r="F55" s="135"/>
      <c r="G55" s="135"/>
      <c r="H55" s="161" t="s">
        <v>286</v>
      </c>
      <c r="I55" s="153">
        <f>+'EJ. DESAGREGADA'!T36</f>
        <v>521536</v>
      </c>
      <c r="J55" s="153">
        <f>+'EJ. DESAGREGADA'!X36</f>
        <v>267245.89</v>
      </c>
      <c r="K55" s="162">
        <f t="shared" si="16"/>
        <v>0.51242079166155363</v>
      </c>
      <c r="L55" s="153">
        <f>+'EJ. DESAGREGADA'!AB36-120540.11</f>
        <v>133750</v>
      </c>
      <c r="M55" s="153">
        <f>+'EJ. DESAGREGADA'!W36+120540.11</f>
        <v>120540.11</v>
      </c>
      <c r="N55" s="153">
        <f>+'EJ. DESAGREGADA'!Y36</f>
        <v>61191.56</v>
      </c>
      <c r="O55" s="162">
        <f t="shared" si="17"/>
        <v>0.11732950362007608</v>
      </c>
      <c r="P55" s="153">
        <f>+'EJ. DESAGREGADA'!AA36</f>
        <v>61191.56</v>
      </c>
      <c r="Q55" s="163">
        <f t="shared" si="18"/>
        <v>0.11732950362007608</v>
      </c>
    </row>
    <row r="56" spans="1:51" s="121" customFormat="1" ht="21.6" x14ac:dyDescent="0.3">
      <c r="A56" s="279">
        <v>2</v>
      </c>
      <c r="B56" s="280">
        <v>2</v>
      </c>
      <c r="C56" s="280">
        <v>1</v>
      </c>
      <c r="D56" s="170">
        <v>4</v>
      </c>
      <c r="E56" s="135"/>
      <c r="F56" s="135"/>
      <c r="G56" s="135"/>
      <c r="H56" s="158" t="s">
        <v>150</v>
      </c>
      <c r="I56" s="169">
        <f>+I57+I58+I59+I60</f>
        <v>122698964</v>
      </c>
      <c r="J56" s="169">
        <f>+J57+J58+J59+J60</f>
        <v>65433380</v>
      </c>
      <c r="K56" s="159">
        <f t="shared" si="16"/>
        <v>0.53328388330972376</v>
      </c>
      <c r="L56" s="169">
        <f>+L57+L58+L59+L60</f>
        <v>1480864</v>
      </c>
      <c r="M56" s="169">
        <f>+M57+M58+M59+M60</f>
        <v>55784720</v>
      </c>
      <c r="N56" s="169">
        <f>+N57+N58+N59+N60</f>
        <v>883100</v>
      </c>
      <c r="O56" s="159">
        <f t="shared" si="17"/>
        <v>7.1972897831476396E-3</v>
      </c>
      <c r="P56" s="169">
        <f>+P57+P58+P59+P60</f>
        <v>883100</v>
      </c>
      <c r="Q56" s="160">
        <f>+P56/I56</f>
        <v>7.1972897831476396E-3</v>
      </c>
      <c r="R56" s="112"/>
      <c r="AY56" s="122"/>
    </row>
    <row r="57" spans="1:51" ht="21.6" x14ac:dyDescent="0.3">
      <c r="A57" s="274">
        <v>2</v>
      </c>
      <c r="B57" s="275">
        <v>2</v>
      </c>
      <c r="C57" s="275">
        <v>1</v>
      </c>
      <c r="D57" s="141">
        <v>4</v>
      </c>
      <c r="E57" s="141">
        <v>2</v>
      </c>
      <c r="F57" s="135"/>
      <c r="G57" s="135"/>
      <c r="H57" s="161" t="s">
        <v>192</v>
      </c>
      <c r="I57" s="153">
        <f>+'EJ. DESAGREGADA'!T37</f>
        <v>113724</v>
      </c>
      <c r="J57" s="153">
        <f>+'EJ. DESAGREGADA'!X37</f>
        <v>0</v>
      </c>
      <c r="K57" s="162">
        <f t="shared" ref="K57:K60" si="22">+J57/I57</f>
        <v>0</v>
      </c>
      <c r="L57" s="153">
        <f>+'EJ. DESAGREGADA'!AB37</f>
        <v>113724</v>
      </c>
      <c r="M57" s="153">
        <f>+'EJ. DESAGREGADA'!W37</f>
        <v>0</v>
      </c>
      <c r="N57" s="153">
        <f>+'EJ. DESAGREGADA'!Y37</f>
        <v>0</v>
      </c>
      <c r="O57" s="162">
        <f t="shared" ref="O57:O60" si="23">+N57/I57</f>
        <v>0</v>
      </c>
      <c r="P57" s="153">
        <f>+'EJ. DESAGREGADA'!AA37</f>
        <v>0</v>
      </c>
      <c r="Q57" s="163">
        <f t="shared" ref="Q57:Q60" si="24">+P57/I57</f>
        <v>0</v>
      </c>
    </row>
    <row r="58" spans="1:51" x14ac:dyDescent="0.3">
      <c r="A58" s="274">
        <v>2</v>
      </c>
      <c r="B58" s="275">
        <v>2</v>
      </c>
      <c r="C58" s="275">
        <v>1</v>
      </c>
      <c r="D58" s="141">
        <v>4</v>
      </c>
      <c r="E58" s="141">
        <v>6</v>
      </c>
      <c r="F58" s="135"/>
      <c r="G58" s="135"/>
      <c r="H58" s="161" t="s">
        <v>237</v>
      </c>
      <c r="I58" s="153">
        <f>+'EJ. DESAGREGADA'!T38</f>
        <v>127940</v>
      </c>
      <c r="J58" s="153">
        <f>+'EJ. DESAGREGADA'!X38</f>
        <v>0</v>
      </c>
      <c r="K58" s="162">
        <f t="shared" si="22"/>
        <v>0</v>
      </c>
      <c r="L58" s="153">
        <f>+'EJ. DESAGREGADA'!AB38</f>
        <v>127940</v>
      </c>
      <c r="M58" s="153">
        <f>+'EJ. DESAGREGADA'!W38</f>
        <v>0</v>
      </c>
      <c r="N58" s="153">
        <f>+'EJ. DESAGREGADA'!Y38</f>
        <v>0</v>
      </c>
      <c r="O58" s="162">
        <f t="shared" si="23"/>
        <v>0</v>
      </c>
      <c r="P58" s="153">
        <f>+'EJ. DESAGREGADA'!AA38</f>
        <v>0</v>
      </c>
      <c r="Q58" s="163">
        <f t="shared" si="24"/>
        <v>0</v>
      </c>
    </row>
    <row r="59" spans="1:51" ht="11.25" customHeight="1" x14ac:dyDescent="0.3">
      <c r="A59" s="274">
        <v>2</v>
      </c>
      <c r="B59" s="275">
        <v>2</v>
      </c>
      <c r="C59" s="275">
        <v>1</v>
      </c>
      <c r="D59" s="141">
        <v>4</v>
      </c>
      <c r="E59" s="141">
        <v>7</v>
      </c>
      <c r="F59" s="135"/>
      <c r="G59" s="135"/>
      <c r="H59" s="161" t="s">
        <v>159</v>
      </c>
      <c r="I59" s="153">
        <f>+'EJ. DESAGREGADA'!T39</f>
        <v>121971100</v>
      </c>
      <c r="J59" s="153">
        <f>+'EJ. DESAGREGADA'!X39</f>
        <v>65433380</v>
      </c>
      <c r="K59" s="162">
        <f t="shared" si="22"/>
        <v>0.53646626127008779</v>
      </c>
      <c r="L59" s="153">
        <f>+'EJ. DESAGREGADA'!AB39-55784720</f>
        <v>753000</v>
      </c>
      <c r="M59" s="153">
        <f>+'EJ. DESAGREGADA'!W39+55784720</f>
        <v>55784720</v>
      </c>
      <c r="N59" s="153">
        <f>+'EJ. DESAGREGADA'!Y39</f>
        <v>883100</v>
      </c>
      <c r="O59" s="162">
        <f t="shared" si="23"/>
        <v>7.2402396961247376E-3</v>
      </c>
      <c r="P59" s="153">
        <f>+'EJ. DESAGREGADA'!AA39</f>
        <v>883100</v>
      </c>
      <c r="Q59" s="163">
        <f t="shared" si="24"/>
        <v>7.2402396961247376E-3</v>
      </c>
      <c r="R59" s="114"/>
    </row>
    <row r="60" spans="1:51" ht="21.6" x14ac:dyDescent="0.3">
      <c r="A60" s="281">
        <v>2</v>
      </c>
      <c r="B60" s="282">
        <v>2</v>
      </c>
      <c r="C60" s="282">
        <v>1</v>
      </c>
      <c r="D60" s="171">
        <v>4</v>
      </c>
      <c r="E60" s="171">
        <v>8</v>
      </c>
      <c r="F60" s="135"/>
      <c r="G60" s="135"/>
      <c r="H60" s="161" t="s">
        <v>212</v>
      </c>
      <c r="I60" s="153">
        <f>+'EJ. DESAGREGADA'!T40</f>
        <v>486200</v>
      </c>
      <c r="J60" s="153">
        <f>+'EJ. DESAGREGADA'!X40</f>
        <v>0</v>
      </c>
      <c r="K60" s="162">
        <f t="shared" si="22"/>
        <v>0</v>
      </c>
      <c r="L60" s="153">
        <f>+'EJ. DESAGREGADA'!AB40</f>
        <v>486200</v>
      </c>
      <c r="M60" s="153">
        <f>+'EJ. DESAGREGADA'!W40</f>
        <v>0</v>
      </c>
      <c r="N60" s="153">
        <f>+'EJ. DESAGREGADA'!Y40</f>
        <v>0</v>
      </c>
      <c r="O60" s="162">
        <f t="shared" si="23"/>
        <v>0</v>
      </c>
      <c r="P60" s="153">
        <f>+'EJ. DESAGREGADA'!AA40</f>
        <v>0</v>
      </c>
      <c r="Q60" s="163">
        <f t="shared" si="24"/>
        <v>0</v>
      </c>
      <c r="R60" s="148"/>
    </row>
    <row r="61" spans="1:51" s="121" customFormat="1" ht="54" x14ac:dyDescent="0.3">
      <c r="A61" s="279">
        <v>2</v>
      </c>
      <c r="B61" s="280">
        <v>2</v>
      </c>
      <c r="C61" s="280">
        <v>2</v>
      </c>
      <c r="D61" s="170">
        <v>6</v>
      </c>
      <c r="E61" s="135"/>
      <c r="F61" s="280"/>
      <c r="G61" s="280"/>
      <c r="H61" s="158" t="s">
        <v>102</v>
      </c>
      <c r="I61" s="169">
        <f>+I62+I63+I64+I65</f>
        <v>1161161434</v>
      </c>
      <c r="J61" s="169">
        <f>+J62+J63+J64+J65</f>
        <v>760112056.12</v>
      </c>
      <c r="K61" s="159">
        <f>+J61/I61</f>
        <v>0.65461359106764827</v>
      </c>
      <c r="L61" s="169">
        <f>+L62+L63+L64+L65</f>
        <v>299765714</v>
      </c>
      <c r="M61" s="169">
        <f>+M62+M63+M64+M65</f>
        <v>101283663.88</v>
      </c>
      <c r="N61" s="169">
        <f>+N62+N63+N64+N65</f>
        <v>388454488.57999998</v>
      </c>
      <c r="O61" s="159">
        <f>+N61/I61</f>
        <v>0.334539605954567</v>
      </c>
      <c r="P61" s="169">
        <f>+P62+P63+P64+P65</f>
        <v>388454488.57999998</v>
      </c>
      <c r="Q61" s="160">
        <f>+P61/I61</f>
        <v>0.334539605954567</v>
      </c>
      <c r="R61" s="112"/>
      <c r="AY61" s="122"/>
    </row>
    <row r="62" spans="1:51" ht="21.6" x14ac:dyDescent="0.3">
      <c r="A62" s="274">
        <v>2</v>
      </c>
      <c r="B62" s="275">
        <v>2</v>
      </c>
      <c r="C62" s="275">
        <v>2</v>
      </c>
      <c r="D62" s="141">
        <v>6</v>
      </c>
      <c r="E62" s="141">
        <v>3</v>
      </c>
      <c r="F62" s="275"/>
      <c r="G62" s="275"/>
      <c r="H62" s="161" t="s">
        <v>161</v>
      </c>
      <c r="I62" s="153">
        <f>+'EJ. DESAGREGADA'!T41</f>
        <v>39971405</v>
      </c>
      <c r="J62" s="153">
        <f>+'EJ. DESAGREGADA'!X41</f>
        <v>20482181.210000001</v>
      </c>
      <c r="K62" s="162">
        <f t="shared" ref="K62:K64" si="25">+J62/I62</f>
        <v>0.51242084710307279</v>
      </c>
      <c r="L62" s="153">
        <f>+'EJ. DESAGREGADA'!AB41-10570790.79</f>
        <v>8918433</v>
      </c>
      <c r="M62" s="153">
        <f>+'EJ. DESAGREGADA'!W41+10570790.79</f>
        <v>10570790.789999999</v>
      </c>
      <c r="N62" s="153">
        <f>+'EJ. DESAGREGADA'!Y41</f>
        <v>5341748.58</v>
      </c>
      <c r="O62" s="162">
        <f t="shared" ref="O62:O65" si="26">+N62/I62</f>
        <v>0.13363924985874276</v>
      </c>
      <c r="P62" s="153">
        <f>+'EJ. DESAGREGADA'!AA41</f>
        <v>5341748.58</v>
      </c>
      <c r="Q62" s="163">
        <f t="shared" ref="Q62:Q65" si="27">+P62/I62</f>
        <v>0.13363924985874276</v>
      </c>
    </row>
    <row r="63" spans="1:51" x14ac:dyDescent="0.3">
      <c r="A63" s="281">
        <v>2</v>
      </c>
      <c r="B63" s="282">
        <v>2</v>
      </c>
      <c r="C63" s="282">
        <v>2</v>
      </c>
      <c r="D63" s="171">
        <v>6</v>
      </c>
      <c r="E63" s="171">
        <v>4</v>
      </c>
      <c r="F63" s="282"/>
      <c r="G63" s="282"/>
      <c r="H63" s="161" t="s">
        <v>163</v>
      </c>
      <c r="I63" s="153">
        <f>+'EJ. DESAGREGADA'!T42</f>
        <v>879894640</v>
      </c>
      <c r="J63" s="153">
        <f>+'EJ. DESAGREGADA'!X42</f>
        <v>603457433.90999997</v>
      </c>
      <c r="K63" s="162">
        <f t="shared" si="25"/>
        <v>0.68582919644788376</v>
      </c>
      <c r="L63" s="153">
        <f>+'EJ. DESAGREGADA'!AB42-M63</f>
        <v>185943708.00000003</v>
      </c>
      <c r="M63" s="153">
        <f>+'EJ. DESAGREGADA'!W42+90493498.09</f>
        <v>90493498.090000004</v>
      </c>
      <c r="N63" s="153">
        <f>+'EJ. DESAGREGADA'!Y42</f>
        <v>293565799</v>
      </c>
      <c r="O63" s="162">
        <f t="shared" si="26"/>
        <v>0.33363744436492987</v>
      </c>
      <c r="P63" s="153">
        <f>+'EJ. DESAGREGADA'!AA42</f>
        <v>293565799</v>
      </c>
      <c r="Q63" s="163">
        <f t="shared" si="27"/>
        <v>0.33363744436492987</v>
      </c>
      <c r="R63" s="114"/>
    </row>
    <row r="64" spans="1:51" x14ac:dyDescent="0.3">
      <c r="A64" s="274">
        <v>2</v>
      </c>
      <c r="B64" s="275">
        <v>2</v>
      </c>
      <c r="C64" s="275">
        <v>2</v>
      </c>
      <c r="D64" s="141">
        <v>6</v>
      </c>
      <c r="E64" s="141">
        <v>8</v>
      </c>
      <c r="F64" s="275"/>
      <c r="G64" s="275"/>
      <c r="H64" s="161" t="s">
        <v>165</v>
      </c>
      <c r="I64" s="153">
        <f>+'EJ. DESAGREGADA'!T43</f>
        <v>82810820</v>
      </c>
      <c r="J64" s="153">
        <f>+'EJ. DESAGREGADA'!X43</f>
        <v>75551501</v>
      </c>
      <c r="K64" s="162">
        <f t="shared" si="25"/>
        <v>0.91233852049768371</v>
      </c>
      <c r="L64" s="153">
        <f>+'EJ. DESAGREGADA'!AB43</f>
        <v>7259319</v>
      </c>
      <c r="M64" s="153">
        <f>+'EJ. DESAGREGADA'!W43</f>
        <v>0</v>
      </c>
      <c r="N64" s="153">
        <f>+'EJ. DESAGREGADA'!Y43</f>
        <v>28926001</v>
      </c>
      <c r="O64" s="162">
        <f t="shared" si="26"/>
        <v>0.34930219263617968</v>
      </c>
      <c r="P64" s="153">
        <f>+'EJ. DESAGREGADA'!AA43</f>
        <v>28926001</v>
      </c>
      <c r="Q64" s="163">
        <f t="shared" si="27"/>
        <v>0.34930219263617968</v>
      </c>
    </row>
    <row r="65" spans="1:51" ht="21.6" x14ac:dyDescent="0.3">
      <c r="A65" s="274">
        <v>2</v>
      </c>
      <c r="B65" s="275">
        <v>2</v>
      </c>
      <c r="C65" s="275">
        <v>2</v>
      </c>
      <c r="D65" s="141">
        <v>6</v>
      </c>
      <c r="E65" s="141">
        <v>9</v>
      </c>
      <c r="F65" s="135"/>
      <c r="G65" s="135"/>
      <c r="H65" s="161" t="s">
        <v>167</v>
      </c>
      <c r="I65" s="153">
        <f>+'EJ. DESAGREGADA'!T44</f>
        <v>158484569</v>
      </c>
      <c r="J65" s="153">
        <f>+'EJ. DESAGREGADA'!X44</f>
        <v>60620940</v>
      </c>
      <c r="K65" s="162">
        <f>+J65/I65</f>
        <v>0.38250373763517631</v>
      </c>
      <c r="L65" s="153">
        <f>+'EJ. DESAGREGADA'!AB44-219375</f>
        <v>97644254</v>
      </c>
      <c r="M65" s="153">
        <f>+'EJ. DESAGREGADA'!W44+219375</f>
        <v>219375</v>
      </c>
      <c r="N65" s="153">
        <f>+'EJ. DESAGREGADA'!Y44</f>
        <v>60620940</v>
      </c>
      <c r="O65" s="162">
        <f t="shared" si="26"/>
        <v>0.38250373763517631</v>
      </c>
      <c r="P65" s="153">
        <f>+'EJ. DESAGREGADA'!AA44</f>
        <v>60620940</v>
      </c>
      <c r="Q65" s="163">
        <f t="shared" si="27"/>
        <v>0.38250373763517631</v>
      </c>
      <c r="R65" s="148"/>
    </row>
    <row r="66" spans="1:51" s="121" customFormat="1" ht="32.4" x14ac:dyDescent="0.3">
      <c r="A66" s="279">
        <v>2</v>
      </c>
      <c r="B66" s="280">
        <v>2</v>
      </c>
      <c r="C66" s="280">
        <v>2</v>
      </c>
      <c r="D66" s="170">
        <v>7</v>
      </c>
      <c r="E66" s="135"/>
      <c r="F66" s="280"/>
      <c r="G66" s="135"/>
      <c r="H66" s="158" t="s">
        <v>103</v>
      </c>
      <c r="I66" s="169">
        <f t="shared" ref="I66:P66" si="28">+I67+I68+I69</f>
        <v>3360751007</v>
      </c>
      <c r="J66" s="169">
        <f t="shared" si="28"/>
        <v>2764172630.8400002</v>
      </c>
      <c r="K66" s="159">
        <f t="shared" si="1"/>
        <v>0.8224865885876681</v>
      </c>
      <c r="L66" s="169">
        <f>+L67+L68+L69</f>
        <v>505211926</v>
      </c>
      <c r="M66" s="169">
        <f t="shared" si="28"/>
        <v>91366450.159999996</v>
      </c>
      <c r="N66" s="169">
        <f>+N67+N68+N69</f>
        <v>1244639396.5599999</v>
      </c>
      <c r="O66" s="159">
        <f t="shared" si="3"/>
        <v>0.37034561440808339</v>
      </c>
      <c r="P66" s="169">
        <f t="shared" si="28"/>
        <v>1244639396.5599999</v>
      </c>
      <c r="Q66" s="160">
        <f t="shared" si="4"/>
        <v>0.37034561440808339</v>
      </c>
      <c r="R66" s="112"/>
      <c r="AY66" s="122"/>
    </row>
    <row r="67" spans="1:51" x14ac:dyDescent="0.3">
      <c r="A67" s="274">
        <v>2</v>
      </c>
      <c r="B67" s="275">
        <v>2</v>
      </c>
      <c r="C67" s="275">
        <v>2</v>
      </c>
      <c r="D67" s="141">
        <v>7</v>
      </c>
      <c r="E67" s="141">
        <v>1</v>
      </c>
      <c r="F67" s="135"/>
      <c r="G67" s="135"/>
      <c r="H67" s="161" t="s">
        <v>194</v>
      </c>
      <c r="I67" s="153">
        <f>+'EJ. DESAGREGADA'!T45</f>
        <v>126244813</v>
      </c>
      <c r="J67" s="153">
        <f>+'EJ. DESAGREGADA'!X45</f>
        <v>5000000</v>
      </c>
      <c r="K67" s="162">
        <f t="shared" si="1"/>
        <v>3.9605587597488064E-2</v>
      </c>
      <c r="L67" s="153">
        <f>+'EJ. DESAGREGADA'!AB45</f>
        <v>121244813</v>
      </c>
      <c r="M67" s="153">
        <f>'EJ. DESAGREGADA'!W45</f>
        <v>0</v>
      </c>
      <c r="N67" s="153">
        <f>+'EJ. DESAGREGADA'!Y45</f>
        <v>134982</v>
      </c>
      <c r="O67" s="162">
        <f t="shared" si="3"/>
        <v>1.0692082850168269E-3</v>
      </c>
      <c r="P67" s="153">
        <f>+'EJ. DESAGREGADA'!AA45</f>
        <v>134982</v>
      </c>
      <c r="Q67" s="163">
        <f t="shared" si="4"/>
        <v>1.0692082850168269E-3</v>
      </c>
      <c r="S67" s="172"/>
    </row>
    <row r="68" spans="1:51" x14ac:dyDescent="0.3">
      <c r="A68" s="274">
        <v>2</v>
      </c>
      <c r="B68" s="275">
        <v>2</v>
      </c>
      <c r="C68" s="275">
        <v>2</v>
      </c>
      <c r="D68" s="141">
        <v>7</v>
      </c>
      <c r="E68" s="141">
        <v>2</v>
      </c>
      <c r="F68" s="135"/>
      <c r="G68" s="135"/>
      <c r="H68" s="161" t="s">
        <v>169</v>
      </c>
      <c r="I68" s="153">
        <f>+'EJ. DESAGREGADA'!T46</f>
        <v>3133154627</v>
      </c>
      <c r="J68" s="153">
        <f>+'EJ. DESAGREGADA'!X46</f>
        <v>2659947026</v>
      </c>
      <c r="K68" s="162">
        <f t="shared" si="1"/>
        <v>0.84896768358569752</v>
      </c>
      <c r="L68" s="153">
        <f>+'EJ. DESAGREGADA'!AB46-M68</f>
        <v>381900000</v>
      </c>
      <c r="M68" s="153">
        <v>91307601</v>
      </c>
      <c r="N68" s="153">
        <f>+'EJ. DESAGREGADA'!Y46</f>
        <v>1209066830</v>
      </c>
      <c r="O68" s="162">
        <f t="shared" si="3"/>
        <v>0.38589440162986249</v>
      </c>
      <c r="P68" s="153">
        <f>+'EJ. DESAGREGADA'!AA46</f>
        <v>1209066830</v>
      </c>
      <c r="Q68" s="163">
        <f t="shared" si="4"/>
        <v>0.38589440162986249</v>
      </c>
      <c r="S68" s="172"/>
    </row>
    <row r="69" spans="1:51" ht="21.6" x14ac:dyDescent="0.3">
      <c r="A69" s="274">
        <v>2</v>
      </c>
      <c r="B69" s="275">
        <v>2</v>
      </c>
      <c r="C69" s="275">
        <v>2</v>
      </c>
      <c r="D69" s="141">
        <v>7</v>
      </c>
      <c r="E69" s="141">
        <v>3</v>
      </c>
      <c r="F69" s="135"/>
      <c r="G69" s="135"/>
      <c r="H69" s="161" t="s">
        <v>171</v>
      </c>
      <c r="I69" s="153">
        <f>+'EJ. DESAGREGADA'!T47</f>
        <v>101351567</v>
      </c>
      <c r="J69" s="153">
        <f>+'EJ. DESAGREGADA'!X47</f>
        <v>99225604.840000004</v>
      </c>
      <c r="K69" s="162">
        <f t="shared" si="1"/>
        <v>0.97902388465291323</v>
      </c>
      <c r="L69" s="153">
        <f>+'EJ. DESAGREGADA'!AB47-M69</f>
        <v>2067112.9999999965</v>
      </c>
      <c r="M69" s="153">
        <f>'EJ. DESAGREGADA'!W47+58849.16</f>
        <v>58849.16</v>
      </c>
      <c r="N69" s="153">
        <f>+'EJ. DESAGREGADA'!Y47</f>
        <v>35437584.560000002</v>
      </c>
      <c r="O69" s="162">
        <f t="shared" si="3"/>
        <v>0.34965009036318107</v>
      </c>
      <c r="P69" s="153">
        <f>+'EJ. DESAGREGADA'!AA47</f>
        <v>35437584.560000002</v>
      </c>
      <c r="Q69" s="163">
        <f t="shared" si="4"/>
        <v>0.34965009036318107</v>
      </c>
      <c r="R69" s="148"/>
      <c r="S69" s="172"/>
    </row>
    <row r="70" spans="1:51" s="121" customFormat="1" ht="21.6" x14ac:dyDescent="0.3">
      <c r="A70" s="279">
        <v>2</v>
      </c>
      <c r="B70" s="280">
        <v>2</v>
      </c>
      <c r="C70" s="280">
        <v>2</v>
      </c>
      <c r="D70" s="170">
        <v>8</v>
      </c>
      <c r="E70" s="135"/>
      <c r="F70" s="280"/>
      <c r="G70" s="135"/>
      <c r="H70" s="158" t="s">
        <v>151</v>
      </c>
      <c r="I70" s="169">
        <f t="shared" ref="I70:P70" si="29">+I71+I72+I73+I74+I75+I76</f>
        <v>13476209073</v>
      </c>
      <c r="J70" s="169">
        <f t="shared" si="29"/>
        <v>10874776823</v>
      </c>
      <c r="K70" s="159">
        <f t="shared" si="1"/>
        <v>0.80696112416272547</v>
      </c>
      <c r="L70" s="169">
        <f>+L71+L72+L73+L74+L75+L76</f>
        <v>2295746860.2700005</v>
      </c>
      <c r="M70" s="169">
        <f>+M71+M72+M73+M74+M75+M76</f>
        <v>305685389.73000002</v>
      </c>
      <c r="N70" s="169">
        <f>+N71+N72+N73+N74+N75+N76</f>
        <v>3560759892.5500002</v>
      </c>
      <c r="O70" s="159">
        <f t="shared" si="3"/>
        <v>0.26422563446897634</v>
      </c>
      <c r="P70" s="169">
        <f t="shared" si="29"/>
        <v>3519535344.5500002</v>
      </c>
      <c r="Q70" s="160">
        <f t="shared" si="4"/>
        <v>0.26116657329111181</v>
      </c>
      <c r="R70" s="148"/>
      <c r="AY70" s="122"/>
    </row>
    <row r="71" spans="1:51" x14ac:dyDescent="0.3">
      <c r="A71" s="281">
        <v>2</v>
      </c>
      <c r="B71" s="282">
        <v>2</v>
      </c>
      <c r="C71" s="282">
        <v>2</v>
      </c>
      <c r="D71" s="171">
        <v>8</v>
      </c>
      <c r="E71" s="171">
        <v>2</v>
      </c>
      <c r="F71" s="282"/>
      <c r="G71" s="164"/>
      <c r="H71" s="161" t="s">
        <v>173</v>
      </c>
      <c r="I71" s="153">
        <f>+'EJ. DESAGREGADA'!T48</f>
        <v>6283969584</v>
      </c>
      <c r="J71" s="153">
        <f>+'EJ. DESAGREGADA'!X48</f>
        <v>5796898019.7299995</v>
      </c>
      <c r="K71" s="162">
        <f t="shared" si="1"/>
        <v>0.92248982784541744</v>
      </c>
      <c r="L71" s="153">
        <f>+'EJ. DESAGREGADA'!AB48-M71</f>
        <v>487041692.00000048</v>
      </c>
      <c r="M71" s="153">
        <f>'EJ. DESAGREGADA'!W48+29872.27</f>
        <v>29872.27</v>
      </c>
      <c r="N71" s="153">
        <f>+'EJ. DESAGREGADA'!Y48</f>
        <v>2098914531.4000001</v>
      </c>
      <c r="O71" s="162">
        <f t="shared" si="3"/>
        <v>0.33401093104336071</v>
      </c>
      <c r="P71" s="153">
        <f>+'EJ. DESAGREGADA'!AA48</f>
        <v>2076348265.4000001</v>
      </c>
      <c r="Q71" s="163">
        <f t="shared" si="4"/>
        <v>0.33041984650701012</v>
      </c>
      <c r="R71" s="114"/>
    </row>
    <row r="72" spans="1:51" ht="43.2" x14ac:dyDescent="0.3">
      <c r="A72" s="274">
        <v>2</v>
      </c>
      <c r="B72" s="275">
        <v>2</v>
      </c>
      <c r="C72" s="275">
        <v>2</v>
      </c>
      <c r="D72" s="141">
        <v>8</v>
      </c>
      <c r="E72" s="141">
        <v>3</v>
      </c>
      <c r="F72" s="275"/>
      <c r="G72" s="164"/>
      <c r="H72" s="161" t="s">
        <v>255</v>
      </c>
      <c r="I72" s="153">
        <f>+'EJ. DESAGREGADA'!T49</f>
        <v>4432612265</v>
      </c>
      <c r="J72" s="153">
        <f>+'EJ. DESAGREGADA'!X49</f>
        <v>3444819528.3400002</v>
      </c>
      <c r="K72" s="162">
        <f t="shared" si="1"/>
        <v>0.77715336293687765</v>
      </c>
      <c r="L72" s="153">
        <f>+'EJ. DESAGREGADA'!AB49-M72</f>
        <v>947641624.99999988</v>
      </c>
      <c r="M72" s="153">
        <f>'EJ. DESAGREGADA'!W49+40151111.66</f>
        <v>40151111.659999996</v>
      </c>
      <c r="N72" s="153">
        <f>+'EJ. DESAGREGADA'!Y49</f>
        <v>931885034.39999998</v>
      </c>
      <c r="O72" s="162">
        <f t="shared" si="3"/>
        <v>0.21023382571901988</v>
      </c>
      <c r="P72" s="153">
        <f>+'EJ. DESAGREGADA'!AA49</f>
        <v>927706784.39999998</v>
      </c>
      <c r="Q72" s="163">
        <f t="shared" si="4"/>
        <v>0.20929120999939299</v>
      </c>
    </row>
    <row r="73" spans="1:51" ht="21.6" x14ac:dyDescent="0.3">
      <c r="A73" s="274">
        <v>2</v>
      </c>
      <c r="B73" s="275">
        <v>2</v>
      </c>
      <c r="C73" s="275">
        <v>2</v>
      </c>
      <c r="D73" s="141">
        <v>8</v>
      </c>
      <c r="E73" s="141">
        <v>4</v>
      </c>
      <c r="F73" s="135"/>
      <c r="G73" s="135"/>
      <c r="H73" s="161" t="s">
        <v>176</v>
      </c>
      <c r="I73" s="153">
        <f>+'EJ. DESAGREGADA'!T50</f>
        <v>702077526</v>
      </c>
      <c r="J73" s="153">
        <f>+'EJ. DESAGREGADA'!X50</f>
        <v>305171776.23000002</v>
      </c>
      <c r="K73" s="162">
        <f t="shared" si="1"/>
        <v>0.43466962682693822</v>
      </c>
      <c r="L73" s="153">
        <f>+'EJ. DESAGREGADA'!AB50-45149324.14</f>
        <v>351756425.63</v>
      </c>
      <c r="M73" s="153">
        <f>'EJ. DESAGREGADA'!W50+45149324.14</f>
        <v>45149324.140000001</v>
      </c>
      <c r="N73" s="153">
        <f>+'EJ. DESAGREGADA'!Y50</f>
        <v>150425008.12</v>
      </c>
      <c r="O73" s="162">
        <f t="shared" si="3"/>
        <v>0.21425697668607613</v>
      </c>
      <c r="P73" s="153">
        <f>+'EJ. DESAGREGADA'!AA50</f>
        <v>150425008.12</v>
      </c>
      <c r="Q73" s="163">
        <f t="shared" si="4"/>
        <v>0.21425697668607613</v>
      </c>
    </row>
    <row r="74" spans="1:51" x14ac:dyDescent="0.3">
      <c r="A74" s="274">
        <v>2</v>
      </c>
      <c r="B74" s="275">
        <v>2</v>
      </c>
      <c r="C74" s="275">
        <v>2</v>
      </c>
      <c r="D74" s="141">
        <v>8</v>
      </c>
      <c r="E74" s="141">
        <v>5</v>
      </c>
      <c r="F74" s="135"/>
      <c r="G74" s="135"/>
      <c r="H74" s="161" t="s">
        <v>178</v>
      </c>
      <c r="I74" s="153">
        <f>+'EJ. DESAGREGADA'!T51</f>
        <v>1973834902</v>
      </c>
      <c r="J74" s="153">
        <f>+'EJ. DESAGREGADA'!X51</f>
        <v>1326487498.7</v>
      </c>
      <c r="K74" s="162">
        <f t="shared" si="1"/>
        <v>0.67203568918349188</v>
      </c>
      <c r="L74" s="153">
        <f>+'EJ. DESAGREGADA'!AB51-175698081.66</f>
        <v>471649321.63999999</v>
      </c>
      <c r="M74" s="153">
        <v>175698081.66</v>
      </c>
      <c r="N74" s="153">
        <f>+'EJ. DESAGREGADA'!Y51</f>
        <v>378135318.63</v>
      </c>
      <c r="O74" s="162">
        <f t="shared" si="3"/>
        <v>0.19157393470287312</v>
      </c>
      <c r="P74" s="153">
        <f>+'EJ. DESAGREGADA'!AA51</f>
        <v>363655286.63</v>
      </c>
      <c r="Q74" s="163">
        <f t="shared" si="4"/>
        <v>0.18423794526154347</v>
      </c>
    </row>
    <row r="75" spans="1:51" ht="32.4" x14ac:dyDescent="0.3">
      <c r="A75" s="274">
        <v>2</v>
      </c>
      <c r="B75" s="275">
        <v>2</v>
      </c>
      <c r="C75" s="275">
        <v>2</v>
      </c>
      <c r="D75" s="141">
        <v>8</v>
      </c>
      <c r="E75" s="141">
        <v>7</v>
      </c>
      <c r="F75" s="135"/>
      <c r="G75" s="135"/>
      <c r="H75" s="161" t="s">
        <v>180</v>
      </c>
      <c r="I75" s="153">
        <f>+'EJ. DESAGREGADA'!T52</f>
        <v>1473696</v>
      </c>
      <c r="J75" s="153">
        <f>+'EJ. DESAGREGADA'!X52</f>
        <v>0</v>
      </c>
      <c r="K75" s="162">
        <f t="shared" si="1"/>
        <v>0</v>
      </c>
      <c r="L75" s="153">
        <f>+'EJ. DESAGREGADA'!AB52</f>
        <v>1473696</v>
      </c>
      <c r="M75" s="153">
        <f>'EJ. DESAGREGADA'!W52</f>
        <v>0</v>
      </c>
      <c r="N75" s="153">
        <f>+'EJ. DESAGREGADA'!Y52</f>
        <v>0</v>
      </c>
      <c r="O75" s="162">
        <f t="shared" si="3"/>
        <v>0</v>
      </c>
      <c r="P75" s="153">
        <f>+'EJ. DESAGREGADA'!AA52</f>
        <v>0</v>
      </c>
      <c r="Q75" s="163">
        <f t="shared" si="4"/>
        <v>0</v>
      </c>
    </row>
    <row r="76" spans="1:51" ht="32.4" x14ac:dyDescent="0.3">
      <c r="A76" s="274">
        <v>2</v>
      </c>
      <c r="B76" s="275">
        <v>2</v>
      </c>
      <c r="C76" s="275">
        <v>2</v>
      </c>
      <c r="D76" s="141">
        <v>8</v>
      </c>
      <c r="E76" s="141">
        <v>9</v>
      </c>
      <c r="F76" s="135"/>
      <c r="G76" s="135"/>
      <c r="H76" s="161" t="s">
        <v>182</v>
      </c>
      <c r="I76" s="153">
        <f>+'EJ. DESAGREGADA'!T53</f>
        <v>82241100</v>
      </c>
      <c r="J76" s="153">
        <f>+'EJ. DESAGREGADA'!X53</f>
        <v>1400000</v>
      </c>
      <c r="K76" s="162">
        <f t="shared" si="1"/>
        <v>1.7023118611010798E-2</v>
      </c>
      <c r="L76" s="153">
        <f>+'EJ. DESAGREGADA'!AB53-M76</f>
        <v>36184100</v>
      </c>
      <c r="M76" s="153">
        <v>44657000</v>
      </c>
      <c r="N76" s="153">
        <f>+'EJ. DESAGREGADA'!Y53</f>
        <v>1400000</v>
      </c>
      <c r="O76" s="162">
        <f t="shared" si="3"/>
        <v>1.7023118611010798E-2</v>
      </c>
      <c r="P76" s="153">
        <f>+'EJ. DESAGREGADA'!AA53</f>
        <v>1400000</v>
      </c>
      <c r="Q76" s="163">
        <f t="shared" si="4"/>
        <v>1.7023118611010798E-2</v>
      </c>
      <c r="R76" s="148"/>
    </row>
    <row r="77" spans="1:51" s="121" customFormat="1" ht="21.6" x14ac:dyDescent="0.3">
      <c r="A77" s="279">
        <v>2</v>
      </c>
      <c r="B77" s="280">
        <v>2</v>
      </c>
      <c r="C77" s="280">
        <v>2</v>
      </c>
      <c r="D77" s="170">
        <v>9</v>
      </c>
      <c r="E77" s="170"/>
      <c r="F77" s="135"/>
      <c r="G77" s="135"/>
      <c r="H77" s="158" t="s">
        <v>104</v>
      </c>
      <c r="I77" s="169">
        <f t="shared" ref="I77:P77" si="30">+I78+I79+I80+I81</f>
        <v>297877965</v>
      </c>
      <c r="J77" s="169">
        <f t="shared" si="30"/>
        <v>221713436</v>
      </c>
      <c r="K77" s="159">
        <f t="shared" si="1"/>
        <v>0.74430962357353292</v>
      </c>
      <c r="L77" s="169">
        <f>+L78+L79+L80+L81</f>
        <v>76164529</v>
      </c>
      <c r="M77" s="169">
        <f t="shared" si="30"/>
        <v>0</v>
      </c>
      <c r="N77" s="169">
        <f>+N78+N79+N80+N81</f>
        <v>15815931.949999999</v>
      </c>
      <c r="O77" s="159">
        <f t="shared" si="3"/>
        <v>5.3095340402234854E-2</v>
      </c>
      <c r="P77" s="169">
        <f t="shared" si="30"/>
        <v>15815931.949999999</v>
      </c>
      <c r="Q77" s="160">
        <f t="shared" si="4"/>
        <v>5.3095340402234854E-2</v>
      </c>
      <c r="R77" s="112"/>
      <c r="S77" s="167"/>
      <c r="AY77" s="122"/>
    </row>
    <row r="78" spans="1:51" x14ac:dyDescent="0.3">
      <c r="A78" s="274">
        <v>2</v>
      </c>
      <c r="B78" s="275">
        <v>2</v>
      </c>
      <c r="C78" s="275">
        <v>2</v>
      </c>
      <c r="D78" s="141">
        <v>9</v>
      </c>
      <c r="E78" s="141">
        <v>2</v>
      </c>
      <c r="F78" s="135"/>
      <c r="G78" s="135"/>
      <c r="H78" s="161" t="s">
        <v>184</v>
      </c>
      <c r="I78" s="153">
        <f>+'EJ. DESAGREGADA'!T54</f>
        <v>102229470</v>
      </c>
      <c r="J78" s="153">
        <f>+'EJ. DESAGREGADA'!X54</f>
        <v>27192500</v>
      </c>
      <c r="K78" s="162">
        <f t="shared" si="1"/>
        <v>0.26599472735210306</v>
      </c>
      <c r="L78" s="153">
        <f>+'EJ. DESAGREGADA'!AB54</f>
        <v>75036970</v>
      </c>
      <c r="M78" s="153">
        <f>+'EJ. DESAGREGADA'!W39</f>
        <v>0</v>
      </c>
      <c r="N78" s="153">
        <f>+'EJ. DESAGREGADA'!Y54</f>
        <v>11091051.949999999</v>
      </c>
      <c r="O78" s="162">
        <f t="shared" si="3"/>
        <v>0.10849172895056582</v>
      </c>
      <c r="P78" s="153">
        <f>+'EJ. DESAGREGADA'!AA54</f>
        <v>11091051.949999999</v>
      </c>
      <c r="Q78" s="163">
        <f t="shared" si="4"/>
        <v>0.10849172895056582</v>
      </c>
      <c r="S78" s="127"/>
    </row>
    <row r="79" spans="1:51" ht="21.6" x14ac:dyDescent="0.3">
      <c r="A79" s="274">
        <v>2</v>
      </c>
      <c r="B79" s="275">
        <v>2</v>
      </c>
      <c r="C79" s="275">
        <v>2</v>
      </c>
      <c r="D79" s="141">
        <v>9</v>
      </c>
      <c r="E79" s="141">
        <v>3</v>
      </c>
      <c r="F79" s="135"/>
      <c r="G79" s="135"/>
      <c r="H79" s="161" t="s">
        <v>196</v>
      </c>
      <c r="I79" s="153">
        <f>+'EJ. DESAGREGADA'!T55</f>
        <v>13591056</v>
      </c>
      <c r="J79" s="153">
        <f>+'EJ. DESAGREGADA'!X55</f>
        <v>13591056</v>
      </c>
      <c r="K79" s="162">
        <f t="shared" ref="K79:K82" si="31">+J79/I79</f>
        <v>1</v>
      </c>
      <c r="L79" s="153">
        <f>+'EJ. DESAGREGADA'!AB55</f>
        <v>0</v>
      </c>
      <c r="M79" s="153">
        <f>+'EJ. DESAGREGADA'!W40</f>
        <v>0</v>
      </c>
      <c r="N79" s="153">
        <f>+'EJ. DESAGREGADA'!Y55</f>
        <v>3795000</v>
      </c>
      <c r="O79" s="162">
        <f t="shared" ref="O79:O82" si="32">+N79/I79</f>
        <v>0.2792277509562171</v>
      </c>
      <c r="P79" s="153">
        <f>+'EJ. DESAGREGADA'!AA55</f>
        <v>3795000</v>
      </c>
      <c r="Q79" s="163">
        <f t="shared" ref="Q79:Q82" si="33">+P79/I79</f>
        <v>0.2792277509562171</v>
      </c>
      <c r="S79" s="127"/>
    </row>
    <row r="80" spans="1:51" ht="32.4" x14ac:dyDescent="0.3">
      <c r="A80" s="274">
        <v>2</v>
      </c>
      <c r="B80" s="275">
        <v>2</v>
      </c>
      <c r="C80" s="275">
        <v>2</v>
      </c>
      <c r="D80" s="141">
        <v>9</v>
      </c>
      <c r="E80" s="141">
        <v>4</v>
      </c>
      <c r="F80" s="135"/>
      <c r="G80" s="135"/>
      <c r="H80" s="161" t="s">
        <v>186</v>
      </c>
      <c r="I80" s="153">
        <f>+'EJ. DESAGREGADA'!T56</f>
        <v>2057439</v>
      </c>
      <c r="J80" s="153">
        <f>+'EJ. DESAGREGADA'!X56</f>
        <v>929880</v>
      </c>
      <c r="K80" s="162">
        <f t="shared" si="31"/>
        <v>0.45195993660079353</v>
      </c>
      <c r="L80" s="153">
        <f>+'EJ. DESAGREGADA'!AB56</f>
        <v>1127559</v>
      </c>
      <c r="M80" s="153">
        <f>+'EJ. DESAGREGADA'!W41</f>
        <v>0</v>
      </c>
      <c r="N80" s="153">
        <f>+'EJ. DESAGREGADA'!Y56</f>
        <v>929880</v>
      </c>
      <c r="O80" s="162">
        <f t="shared" si="32"/>
        <v>0.45195993660079353</v>
      </c>
      <c r="P80" s="153">
        <f>+'EJ. DESAGREGADA'!AA56</f>
        <v>929880</v>
      </c>
      <c r="Q80" s="163">
        <f t="shared" si="33"/>
        <v>0.45195993660079353</v>
      </c>
      <c r="S80" s="127"/>
    </row>
    <row r="81" spans="1:51" ht="21.6" x14ac:dyDescent="0.3">
      <c r="A81" s="274">
        <v>2</v>
      </c>
      <c r="B81" s="275">
        <v>2</v>
      </c>
      <c r="C81" s="275">
        <v>2</v>
      </c>
      <c r="D81" s="141">
        <v>9</v>
      </c>
      <c r="E81" s="141">
        <v>6</v>
      </c>
      <c r="F81" s="135"/>
      <c r="G81" s="135"/>
      <c r="H81" s="161" t="s">
        <v>256</v>
      </c>
      <c r="I81" s="153">
        <f>+'EJ. DESAGREGADA'!T57</f>
        <v>180000000</v>
      </c>
      <c r="J81" s="153">
        <f>+'EJ. DESAGREGADA'!X57</f>
        <v>180000000</v>
      </c>
      <c r="K81" s="162">
        <f t="shared" si="31"/>
        <v>1</v>
      </c>
      <c r="L81" s="153">
        <f>+'EJ. DESAGREGADA'!AB57</f>
        <v>0</v>
      </c>
      <c r="M81" s="153">
        <f>+'EJ. DESAGREGADA'!W42</f>
        <v>0</v>
      </c>
      <c r="N81" s="153">
        <f>+'EJ. DESAGREGADA'!Y57</f>
        <v>0</v>
      </c>
      <c r="O81" s="162">
        <f t="shared" si="32"/>
        <v>0</v>
      </c>
      <c r="P81" s="153">
        <f>+'EJ. DESAGREGADA'!AA57</f>
        <v>0</v>
      </c>
      <c r="Q81" s="163">
        <f t="shared" si="33"/>
        <v>0</v>
      </c>
      <c r="R81" s="148"/>
      <c r="S81" s="127"/>
    </row>
    <row r="82" spans="1:51" s="121" customFormat="1" ht="21.6" x14ac:dyDescent="0.3">
      <c r="A82" s="279">
        <v>2</v>
      </c>
      <c r="B82" s="280">
        <v>2</v>
      </c>
      <c r="C82" s="280">
        <v>2</v>
      </c>
      <c r="D82" s="170">
        <v>10</v>
      </c>
      <c r="E82" s="135"/>
      <c r="F82" s="135"/>
      <c r="G82" s="135"/>
      <c r="H82" s="173" t="s">
        <v>105</v>
      </c>
      <c r="I82" s="169">
        <f>+'EJ. DESAGREGADA'!T58</f>
        <v>300000000</v>
      </c>
      <c r="J82" s="169">
        <f>+'EJ. DESAGREGADA'!X58</f>
        <v>32875310</v>
      </c>
      <c r="K82" s="159">
        <f t="shared" si="31"/>
        <v>0.10958436666666667</v>
      </c>
      <c r="L82" s="169">
        <f>+'EJ. DESAGREGADA'!AB58</f>
        <v>267124690</v>
      </c>
      <c r="M82" s="169">
        <f>+'EJ. DESAGREGADA'!W58</f>
        <v>0</v>
      </c>
      <c r="N82" s="169">
        <f>+'EJ. DESAGREGADA'!Y58</f>
        <v>32875310</v>
      </c>
      <c r="O82" s="159">
        <f t="shared" si="32"/>
        <v>0.10958436666666667</v>
      </c>
      <c r="P82" s="169">
        <f>+'EJ. DESAGREGADA'!AA58</f>
        <v>28570826</v>
      </c>
      <c r="Q82" s="160">
        <f t="shared" si="33"/>
        <v>9.5236086666666664E-2</v>
      </c>
      <c r="R82" s="148"/>
      <c r="AY82" s="122"/>
    </row>
    <row r="83" spans="1:51" s="121" customFormat="1" x14ac:dyDescent="0.3">
      <c r="A83" s="268" t="s">
        <v>89</v>
      </c>
      <c r="B83" s="115" t="s">
        <v>33</v>
      </c>
      <c r="C83" s="269" t="s">
        <v>33</v>
      </c>
      <c r="D83" s="115" t="s">
        <v>33</v>
      </c>
      <c r="E83" s="269"/>
      <c r="F83" s="115"/>
      <c r="G83" s="115"/>
      <c r="H83" s="116" t="s">
        <v>9</v>
      </c>
      <c r="I83" s="117">
        <f>+I84+I88+I92</f>
        <v>61273092999</v>
      </c>
      <c r="J83" s="117">
        <f>+J84+J88+J92</f>
        <v>28917494949.150002</v>
      </c>
      <c r="K83" s="118">
        <f>+J83/I83</f>
        <v>0.47194442999020708</v>
      </c>
      <c r="L83" s="117">
        <f>+L84+L88+L92</f>
        <v>21466330432</v>
      </c>
      <c r="M83" s="117">
        <f>+M84+M88+M92</f>
        <v>5889267617.7700005</v>
      </c>
      <c r="N83" s="117">
        <f>+N84+N88+N92</f>
        <v>10020713964.310001</v>
      </c>
      <c r="O83" s="118">
        <f t="shared" ref="O83:Q83" si="34">+O84+O88+O92</f>
        <v>1.21636674808033</v>
      </c>
      <c r="P83" s="117">
        <f>+P84+P88+P92</f>
        <v>9992241142.6399994</v>
      </c>
      <c r="Q83" s="119">
        <f t="shared" si="34"/>
        <v>1.2158649067383063</v>
      </c>
      <c r="R83" s="174"/>
      <c r="AY83" s="122"/>
    </row>
    <row r="84" spans="1:51" s="179" customFormat="1" x14ac:dyDescent="0.3">
      <c r="A84" s="277" t="s">
        <v>89</v>
      </c>
      <c r="B84" s="278">
        <v>3</v>
      </c>
      <c r="C84" s="129" t="s">
        <v>33</v>
      </c>
      <c r="D84" s="129" t="s">
        <v>33</v>
      </c>
      <c r="E84" s="175"/>
      <c r="F84" s="175"/>
      <c r="G84" s="175"/>
      <c r="H84" s="130" t="s">
        <v>106</v>
      </c>
      <c r="I84" s="155">
        <f>+I85</f>
        <v>56736700000</v>
      </c>
      <c r="J84" s="155">
        <f t="shared" ref="J84:N84" si="35">+J85</f>
        <v>24750356515.610001</v>
      </c>
      <c r="K84" s="156">
        <f t="shared" ref="K84:K96" si="36">+J84/I84</f>
        <v>0.43623186606922859</v>
      </c>
      <c r="L84" s="155">
        <f>+L85</f>
        <v>21177862698</v>
      </c>
      <c r="M84" s="155">
        <f>+M85</f>
        <v>5808480786.3900003</v>
      </c>
      <c r="N84" s="155">
        <f t="shared" si="35"/>
        <v>5859934732.7700005</v>
      </c>
      <c r="O84" s="156">
        <f>+N84/I84</f>
        <v>0.10328296733454713</v>
      </c>
      <c r="P84" s="155">
        <f>+P85</f>
        <v>5831461911.1000004</v>
      </c>
      <c r="Q84" s="157">
        <f t="shared" ref="Q84:Q96" si="37">+P84/I84</f>
        <v>0.10278112599252337</v>
      </c>
      <c r="R84" s="174"/>
      <c r="S84" s="176"/>
      <c r="T84" s="176"/>
      <c r="U84" s="176"/>
      <c r="V84" s="176"/>
      <c r="W84" s="176"/>
      <c r="X84" s="176"/>
      <c r="Y84" s="176"/>
      <c r="Z84" s="176"/>
      <c r="AA84" s="177"/>
      <c r="AB84" s="177"/>
      <c r="AC84" s="177"/>
      <c r="AD84" s="177"/>
      <c r="AE84" s="177"/>
      <c r="AF84" s="177"/>
      <c r="AG84" s="177"/>
      <c r="AH84" s="177"/>
      <c r="AI84" s="177"/>
      <c r="AJ84" s="177"/>
      <c r="AK84" s="178"/>
      <c r="AY84" s="180"/>
    </row>
    <row r="85" spans="1:51" s="179" customFormat="1" x14ac:dyDescent="0.3">
      <c r="A85" s="272" t="s">
        <v>89</v>
      </c>
      <c r="B85" s="273">
        <v>3</v>
      </c>
      <c r="C85" s="273">
        <v>1</v>
      </c>
      <c r="D85" s="149" t="s">
        <v>33</v>
      </c>
      <c r="E85" s="149"/>
      <c r="F85" s="168"/>
      <c r="G85" s="168"/>
      <c r="H85" s="158" t="s">
        <v>107</v>
      </c>
      <c r="I85" s="137">
        <f>+I86+I87</f>
        <v>56736700000</v>
      </c>
      <c r="J85" s="137">
        <f>+J86</f>
        <v>24750356515.610001</v>
      </c>
      <c r="K85" s="139">
        <f t="shared" si="36"/>
        <v>0.43623186606922859</v>
      </c>
      <c r="L85" s="137">
        <f>+L86+L87</f>
        <v>21177862698</v>
      </c>
      <c r="M85" s="137">
        <f>+M86</f>
        <v>5808480786.3900003</v>
      </c>
      <c r="N85" s="137">
        <f>+N86</f>
        <v>5859934732.7700005</v>
      </c>
      <c r="O85" s="139">
        <f t="shared" ref="O85:O97" si="38">+N85/I85</f>
        <v>0.10328296733454713</v>
      </c>
      <c r="P85" s="137">
        <f>+P86</f>
        <v>5831461911.1000004</v>
      </c>
      <c r="Q85" s="140">
        <f t="shared" si="37"/>
        <v>0.10278112599252337</v>
      </c>
      <c r="R85" s="174"/>
      <c r="S85" s="176"/>
      <c r="T85" s="176"/>
      <c r="U85" s="176"/>
      <c r="V85" s="176"/>
      <c r="W85" s="176"/>
      <c r="X85" s="176"/>
      <c r="Y85" s="176"/>
      <c r="Z85" s="176"/>
      <c r="AA85" s="177"/>
      <c r="AB85" s="177"/>
      <c r="AC85" s="177"/>
      <c r="AD85" s="177"/>
      <c r="AE85" s="177"/>
      <c r="AF85" s="177"/>
      <c r="AG85" s="177"/>
      <c r="AH85" s="177"/>
      <c r="AI85" s="177"/>
      <c r="AJ85" s="181"/>
      <c r="AK85" s="178"/>
      <c r="AY85" s="180"/>
    </row>
    <row r="86" spans="1:51" s="109" customFormat="1" ht="37.5" customHeight="1" x14ac:dyDescent="0.3">
      <c r="A86" s="274" t="s">
        <v>89</v>
      </c>
      <c r="B86" s="275">
        <v>3</v>
      </c>
      <c r="C86" s="275">
        <v>1</v>
      </c>
      <c r="D86" s="141">
        <v>78</v>
      </c>
      <c r="E86" s="182"/>
      <c r="F86" s="183"/>
      <c r="G86" s="183"/>
      <c r="H86" s="161" t="s">
        <v>27</v>
      </c>
      <c r="I86" s="144">
        <f>+'EJ. AGREGADA'!T10</f>
        <v>51736700000</v>
      </c>
      <c r="J86" s="144">
        <f>+'EJ. AGREGADA'!X10</f>
        <v>24750356515.610001</v>
      </c>
      <c r="K86" s="162">
        <f t="shared" si="36"/>
        <v>0.47839070747863705</v>
      </c>
      <c r="L86" s="144">
        <f>+'EJ. AGREGADA'!AC10-5808480786.39</f>
        <v>21177862698</v>
      </c>
      <c r="M86" s="315">
        <f>5808480786.39</f>
        <v>5808480786.3900003</v>
      </c>
      <c r="N86" s="144">
        <f>+'EJ. AGREGADA'!Y10</f>
        <v>5859934732.7700005</v>
      </c>
      <c r="O86" s="162">
        <f t="shared" si="38"/>
        <v>0.11326456331327665</v>
      </c>
      <c r="P86" s="144">
        <f>+'EJ. AGREGADA'!AA10</f>
        <v>5831461911.1000004</v>
      </c>
      <c r="Q86" s="163">
        <f t="shared" si="37"/>
        <v>0.11271422242044817</v>
      </c>
      <c r="R86" s="184">
        <v>21175639.73</v>
      </c>
      <c r="AY86" s="185"/>
    </row>
    <row r="87" spans="1:51" s="109" customFormat="1" ht="21.6" x14ac:dyDescent="0.3">
      <c r="A87" s="274" t="s">
        <v>89</v>
      </c>
      <c r="B87" s="275">
        <v>3</v>
      </c>
      <c r="C87" s="275">
        <v>1</v>
      </c>
      <c r="D87" s="141">
        <v>999</v>
      </c>
      <c r="E87" s="182"/>
      <c r="F87" s="183"/>
      <c r="G87" s="183"/>
      <c r="H87" s="161" t="s">
        <v>258</v>
      </c>
      <c r="I87" s="315">
        <f>+'EJ. AGREGADA'!T11</f>
        <v>5000000000</v>
      </c>
      <c r="J87" s="144">
        <f>+'EJ. AGREGADA'!X11</f>
        <v>0</v>
      </c>
      <c r="K87" s="162">
        <f t="shared" si="36"/>
        <v>0</v>
      </c>
      <c r="L87" s="144">
        <f>+'EJ. AGREGADA'!AC11</f>
        <v>0</v>
      </c>
      <c r="M87" s="315">
        <f>+'EJ. AGREGADA'!W11</f>
        <v>0</v>
      </c>
      <c r="N87" s="144">
        <f>+'EJ. AGREGADA'!Y11</f>
        <v>0</v>
      </c>
      <c r="O87" s="162"/>
      <c r="P87" s="144">
        <f>+'EJ. AGREGADA'!AA11</f>
        <v>0</v>
      </c>
      <c r="Q87" s="163"/>
      <c r="R87" s="184"/>
      <c r="AY87" s="185"/>
    </row>
    <row r="88" spans="1:51" s="109" customFormat="1" x14ac:dyDescent="0.3">
      <c r="A88" s="277" t="s">
        <v>89</v>
      </c>
      <c r="B88" s="278" t="s">
        <v>108</v>
      </c>
      <c r="C88" s="175"/>
      <c r="D88" s="175"/>
      <c r="E88" s="175"/>
      <c r="F88" s="186"/>
      <c r="G88" s="186"/>
      <c r="H88" s="130" t="s">
        <v>109</v>
      </c>
      <c r="I88" s="155">
        <f>+I89</f>
        <v>262700000</v>
      </c>
      <c r="J88" s="155">
        <f t="shared" ref="J88:P88" si="39">+J89</f>
        <v>45407266</v>
      </c>
      <c r="K88" s="156">
        <f t="shared" si="36"/>
        <v>0.1728483669585078</v>
      </c>
      <c r="L88" s="155">
        <f>+L89</f>
        <v>217292734</v>
      </c>
      <c r="M88" s="155">
        <f>+M89</f>
        <v>0</v>
      </c>
      <c r="N88" s="155">
        <f t="shared" si="39"/>
        <v>39048064</v>
      </c>
      <c r="O88" s="156">
        <f t="shared" si="38"/>
        <v>0.14864127902550439</v>
      </c>
      <c r="P88" s="155">
        <f t="shared" si="39"/>
        <v>39048064</v>
      </c>
      <c r="Q88" s="157">
        <f t="shared" si="37"/>
        <v>0.14864127902550439</v>
      </c>
      <c r="R88" s="184"/>
      <c r="AY88" s="185"/>
    </row>
    <row r="89" spans="1:51" s="187" customFormat="1" ht="21.6" x14ac:dyDescent="0.3">
      <c r="A89" s="272" t="s">
        <v>89</v>
      </c>
      <c r="B89" s="273" t="s">
        <v>108</v>
      </c>
      <c r="C89" s="273" t="s">
        <v>83</v>
      </c>
      <c r="D89" s="134"/>
      <c r="E89" s="168"/>
      <c r="F89" s="183"/>
      <c r="G89" s="183"/>
      <c r="H89" s="158" t="s">
        <v>111</v>
      </c>
      <c r="I89" s="169">
        <f>+I90+I91</f>
        <v>262700000</v>
      </c>
      <c r="J89" s="169">
        <f t="shared" ref="J89:P89" si="40">+J90+J91</f>
        <v>45407266</v>
      </c>
      <c r="K89" s="159">
        <f t="shared" si="36"/>
        <v>0.1728483669585078</v>
      </c>
      <c r="L89" s="169">
        <f>+L90+L91</f>
        <v>217292734</v>
      </c>
      <c r="M89" s="169">
        <f>+M90+M91</f>
        <v>0</v>
      </c>
      <c r="N89" s="169">
        <f t="shared" si="40"/>
        <v>39048064</v>
      </c>
      <c r="O89" s="159">
        <f t="shared" si="38"/>
        <v>0.14864127902550439</v>
      </c>
      <c r="P89" s="169">
        <f t="shared" si="40"/>
        <v>39048064</v>
      </c>
      <c r="Q89" s="160">
        <f t="shared" si="37"/>
        <v>0.14864127902550439</v>
      </c>
      <c r="R89" s="174"/>
      <c r="AY89" s="188"/>
    </row>
    <row r="90" spans="1:51" s="187" customFormat="1" x14ac:dyDescent="0.3">
      <c r="A90" s="274" t="s">
        <v>89</v>
      </c>
      <c r="B90" s="275" t="s">
        <v>108</v>
      </c>
      <c r="C90" s="275" t="s">
        <v>83</v>
      </c>
      <c r="D90" s="141" t="s">
        <v>110</v>
      </c>
      <c r="E90" s="141">
        <v>1</v>
      </c>
      <c r="F90" s="135"/>
      <c r="G90" s="135"/>
      <c r="H90" s="161" t="s">
        <v>154</v>
      </c>
      <c r="I90" s="153">
        <f>+'EJ. DESAGREGADA'!T59</f>
        <v>140300000</v>
      </c>
      <c r="J90" s="153">
        <f>+'EJ. DESAGREGADA'!X59</f>
        <v>25545698</v>
      </c>
      <c r="K90" s="162">
        <f t="shared" si="36"/>
        <v>0.18207910192444762</v>
      </c>
      <c r="L90" s="153">
        <f>+'EJ. DESAGREGADA'!AB59</f>
        <v>114754302</v>
      </c>
      <c r="M90" s="153">
        <f>+'EJ. DESAGREGADA'!W59</f>
        <v>0</v>
      </c>
      <c r="N90" s="153">
        <f>+'EJ. DESAGREGADA'!Y59</f>
        <v>19186496</v>
      </c>
      <c r="O90" s="162">
        <f t="shared" si="38"/>
        <v>0.13675335709194583</v>
      </c>
      <c r="P90" s="153">
        <f>+'EJ. DESAGREGADA'!AA59</f>
        <v>19186496</v>
      </c>
      <c r="Q90" s="163">
        <f t="shared" si="37"/>
        <v>0.13675335709194583</v>
      </c>
      <c r="R90" s="174"/>
      <c r="AY90" s="188"/>
    </row>
    <row r="91" spans="1:51" s="187" customFormat="1" ht="21.6" x14ac:dyDescent="0.3">
      <c r="A91" s="274" t="s">
        <v>89</v>
      </c>
      <c r="B91" s="275" t="s">
        <v>108</v>
      </c>
      <c r="C91" s="275" t="s">
        <v>83</v>
      </c>
      <c r="D91" s="141" t="s">
        <v>110</v>
      </c>
      <c r="E91" s="141">
        <v>2</v>
      </c>
      <c r="F91" s="135"/>
      <c r="G91" s="135"/>
      <c r="H91" s="161" t="s">
        <v>117</v>
      </c>
      <c r="I91" s="153">
        <f>+'EJ. DESAGREGADA'!T60</f>
        <v>122400000</v>
      </c>
      <c r="J91" s="153">
        <f>+'EJ. DESAGREGADA'!X60</f>
        <v>19861568</v>
      </c>
      <c r="K91" s="162">
        <f t="shared" si="36"/>
        <v>0.16226771241830065</v>
      </c>
      <c r="L91" s="153">
        <f>+'EJ. DESAGREGADA'!AB60</f>
        <v>102538432</v>
      </c>
      <c r="M91" s="153">
        <f>+'EJ. DESAGREGADA'!W60</f>
        <v>0</v>
      </c>
      <c r="N91" s="153">
        <f>+'EJ. DESAGREGADA'!Y60</f>
        <v>19861568</v>
      </c>
      <c r="O91" s="162">
        <f t="shared" si="38"/>
        <v>0.16226771241830065</v>
      </c>
      <c r="P91" s="153">
        <f>+'EJ. DESAGREGADA'!AA60</f>
        <v>19861568</v>
      </c>
      <c r="Q91" s="163">
        <f t="shared" si="37"/>
        <v>0.16226771241830065</v>
      </c>
      <c r="R91" s="174"/>
      <c r="AY91" s="188"/>
    </row>
    <row r="92" spans="1:51" s="187" customFormat="1" x14ac:dyDescent="0.3">
      <c r="A92" s="277">
        <v>3</v>
      </c>
      <c r="B92" s="278">
        <v>10</v>
      </c>
      <c r="C92" s="175"/>
      <c r="D92" s="175"/>
      <c r="E92" s="175"/>
      <c r="F92" s="186"/>
      <c r="G92" s="186"/>
      <c r="H92" s="130" t="s">
        <v>244</v>
      </c>
      <c r="I92" s="155">
        <f>+'EJ. AGREGADA'!T13</f>
        <v>4273692999</v>
      </c>
      <c r="J92" s="155">
        <f>+J93</f>
        <v>4121731167.54</v>
      </c>
      <c r="K92" s="156">
        <f>+J92/I92</f>
        <v>0.96444250172027857</v>
      </c>
      <c r="L92" s="155">
        <f t="shared" ref="L92:N93" si="41">+L93</f>
        <v>71175000.000000224</v>
      </c>
      <c r="M92" s="155">
        <f>+M93</f>
        <v>80786831.38000001</v>
      </c>
      <c r="N92" s="155">
        <f t="shared" si="41"/>
        <v>4121731167.54</v>
      </c>
      <c r="O92" s="156">
        <f>+N92/I92</f>
        <v>0.96444250172027857</v>
      </c>
      <c r="P92" s="155">
        <f>+P93</f>
        <v>4121731167.54</v>
      </c>
      <c r="Q92" s="157">
        <f>+P92/I92</f>
        <v>0.96444250172027857</v>
      </c>
      <c r="R92" s="174"/>
      <c r="AY92" s="188"/>
    </row>
    <row r="93" spans="1:51" s="121" customFormat="1" x14ac:dyDescent="0.3">
      <c r="A93" s="279">
        <v>3</v>
      </c>
      <c r="B93" s="280">
        <v>10</v>
      </c>
      <c r="C93" s="189" t="s">
        <v>83</v>
      </c>
      <c r="D93" s="168"/>
      <c r="E93" s="168"/>
      <c r="F93" s="183"/>
      <c r="G93" s="183"/>
      <c r="H93" s="158" t="s">
        <v>245</v>
      </c>
      <c r="I93" s="169">
        <f>+I94</f>
        <v>4273692999</v>
      </c>
      <c r="J93" s="169">
        <f>+J94</f>
        <v>4121731167.54</v>
      </c>
      <c r="K93" s="159">
        <f>+J93/I93</f>
        <v>0.96444250172027857</v>
      </c>
      <c r="L93" s="169">
        <f t="shared" si="41"/>
        <v>71175000.000000224</v>
      </c>
      <c r="M93" s="169">
        <f>+M94</f>
        <v>80786831.38000001</v>
      </c>
      <c r="N93" s="169">
        <f t="shared" si="41"/>
        <v>4121731167.54</v>
      </c>
      <c r="O93" s="159">
        <f>+N93/I93</f>
        <v>0.96444250172027857</v>
      </c>
      <c r="P93" s="169">
        <f>+P94</f>
        <v>4121731167.54</v>
      </c>
      <c r="Q93" s="163">
        <f>+P93/I93</f>
        <v>0.96444250172027857</v>
      </c>
      <c r="R93" s="120"/>
      <c r="AY93" s="122"/>
    </row>
    <row r="94" spans="1:51" s="187" customFormat="1" ht="43.2" x14ac:dyDescent="0.3">
      <c r="A94" s="274">
        <v>3</v>
      </c>
      <c r="B94" s="275">
        <v>10</v>
      </c>
      <c r="C94" s="275">
        <v>2</v>
      </c>
      <c r="D94" s="141">
        <v>1</v>
      </c>
      <c r="E94" s="141"/>
      <c r="F94" s="135"/>
      <c r="G94" s="135"/>
      <c r="H94" s="161" t="s">
        <v>246</v>
      </c>
      <c r="I94" s="153">
        <f>+'EJ. DESAGREGADA'!T61</f>
        <v>4273692999</v>
      </c>
      <c r="J94" s="153">
        <f>+'EJ. DESAGREGADA'!X61</f>
        <v>4121731167.54</v>
      </c>
      <c r="K94" s="162">
        <f>+J94/I94</f>
        <v>0.96444250172027857</v>
      </c>
      <c r="L94" s="153">
        <f>+'EJ. DESAGREGADA'!AB61-M94+0.12</f>
        <v>71175000.000000224</v>
      </c>
      <c r="M94" s="153">
        <f>+'EJ. DESAGREGADA'!W61+80786831.18</f>
        <v>80786831.38000001</v>
      </c>
      <c r="N94" s="153">
        <f>+'EJ. DESAGREGADA'!Y61</f>
        <v>4121731167.54</v>
      </c>
      <c r="O94" s="162">
        <f>+N94/I94</f>
        <v>0.96444250172027857</v>
      </c>
      <c r="P94" s="153">
        <f>+'EJ. DESAGREGADA'!AA61</f>
        <v>4121731167.54</v>
      </c>
      <c r="Q94" s="163">
        <f>+P94/I94</f>
        <v>0.96444250172027857</v>
      </c>
      <c r="R94" s="174"/>
      <c r="AY94" s="188"/>
    </row>
    <row r="95" spans="1:51" s="121" customFormat="1" ht="21.6" x14ac:dyDescent="0.3">
      <c r="A95" s="268" t="s">
        <v>112</v>
      </c>
      <c r="B95" s="115" t="s">
        <v>33</v>
      </c>
      <c r="C95" s="269" t="s">
        <v>33</v>
      </c>
      <c r="D95" s="115" t="s">
        <v>33</v>
      </c>
      <c r="E95" s="269"/>
      <c r="F95" s="115"/>
      <c r="G95" s="115"/>
      <c r="H95" s="116" t="s">
        <v>113</v>
      </c>
      <c r="I95" s="117">
        <f>+I96</f>
        <v>299100000</v>
      </c>
      <c r="J95" s="117">
        <f>+J96</f>
        <v>0</v>
      </c>
      <c r="K95" s="118">
        <f t="shared" si="36"/>
        <v>0</v>
      </c>
      <c r="L95" s="117">
        <f>+L96</f>
        <v>0</v>
      </c>
      <c r="M95" s="117">
        <f>+M96</f>
        <v>299100000</v>
      </c>
      <c r="N95" s="117">
        <f t="shared" ref="J95:P96" si="42">+N96</f>
        <v>0</v>
      </c>
      <c r="O95" s="118">
        <f t="shared" si="38"/>
        <v>0</v>
      </c>
      <c r="P95" s="117">
        <f t="shared" si="42"/>
        <v>0</v>
      </c>
      <c r="Q95" s="119">
        <f t="shared" si="37"/>
        <v>0</v>
      </c>
      <c r="R95" s="184"/>
      <c r="AY95" s="122"/>
    </row>
    <row r="96" spans="1:51" s="109" customFormat="1" x14ac:dyDescent="0.3">
      <c r="A96" s="277" t="s">
        <v>112</v>
      </c>
      <c r="B96" s="278" t="s">
        <v>108</v>
      </c>
      <c r="C96" s="278" t="s">
        <v>33</v>
      </c>
      <c r="D96" s="166"/>
      <c r="E96" s="166"/>
      <c r="F96" s="190"/>
      <c r="G96" s="190"/>
      <c r="H96" s="191" t="s">
        <v>114</v>
      </c>
      <c r="I96" s="155">
        <f>+I97</f>
        <v>299100000</v>
      </c>
      <c r="J96" s="155">
        <f t="shared" si="42"/>
        <v>0</v>
      </c>
      <c r="K96" s="156">
        <f t="shared" si="36"/>
        <v>0</v>
      </c>
      <c r="L96" s="155">
        <f>+L97</f>
        <v>0</v>
      </c>
      <c r="M96" s="155">
        <f>+M97</f>
        <v>299100000</v>
      </c>
      <c r="N96" s="155">
        <f t="shared" si="42"/>
        <v>0</v>
      </c>
      <c r="O96" s="156">
        <f t="shared" si="38"/>
        <v>0</v>
      </c>
      <c r="P96" s="155">
        <f t="shared" si="42"/>
        <v>0</v>
      </c>
      <c r="Q96" s="157">
        <f t="shared" si="37"/>
        <v>0</v>
      </c>
      <c r="R96" s="184"/>
      <c r="AY96" s="185"/>
    </row>
    <row r="97" spans="1:51" s="109" customFormat="1" x14ac:dyDescent="0.3">
      <c r="A97" s="274" t="s">
        <v>112</v>
      </c>
      <c r="B97" s="275" t="s">
        <v>108</v>
      </c>
      <c r="C97" s="275" t="s">
        <v>67</v>
      </c>
      <c r="D97" s="135"/>
      <c r="E97" s="135"/>
      <c r="F97" s="192"/>
      <c r="G97" s="192"/>
      <c r="H97" s="142" t="s">
        <v>115</v>
      </c>
      <c r="I97" s="144">
        <f>+'EJ. AGREGADA'!T14</f>
        <v>299100000</v>
      </c>
      <c r="J97" s="144">
        <f>+'EJ. AGREGADA'!X14</f>
        <v>0</v>
      </c>
      <c r="K97" s="193">
        <f>+J97/I97</f>
        <v>0</v>
      </c>
      <c r="L97" s="144">
        <f>+'EJ. AGREGADA'!AC14-M97</f>
        <v>0</v>
      </c>
      <c r="M97" s="315">
        <v>299100000</v>
      </c>
      <c r="N97" s="144">
        <f>+'EJ. AGREGADA'!Y14</f>
        <v>0</v>
      </c>
      <c r="O97" s="193">
        <f t="shared" si="38"/>
        <v>0</v>
      </c>
      <c r="P97" s="144">
        <f>+'EJ. AGREGADA'!AA14</f>
        <v>0</v>
      </c>
      <c r="Q97" s="194">
        <f>+P97/I97</f>
        <v>0</v>
      </c>
      <c r="R97" s="184"/>
      <c r="AY97" s="185"/>
    </row>
    <row r="98" spans="1:51" s="200" customFormat="1" ht="17.25" customHeight="1" x14ac:dyDescent="0.3">
      <c r="A98" s="349" t="s">
        <v>49</v>
      </c>
      <c r="B98" s="350"/>
      <c r="C98" s="350"/>
      <c r="D98" s="350"/>
      <c r="E98" s="350"/>
      <c r="F98" s="350"/>
      <c r="G98" s="351"/>
      <c r="H98" s="195" t="s">
        <v>11</v>
      </c>
      <c r="I98" s="196">
        <f>+I8+I37+I83+I95</f>
        <v>147085492999</v>
      </c>
      <c r="J98" s="196">
        <f>+J8+J37+J83+J95</f>
        <v>62093723449.020004</v>
      </c>
      <c r="K98" s="197">
        <f t="shared" ref="K98:K113" si="43">+J98/I98</f>
        <v>0.42216075958926941</v>
      </c>
      <c r="L98" s="196">
        <f>+L8+L37+L83+L95</f>
        <v>64947419897.619995</v>
      </c>
      <c r="M98" s="196">
        <f>+M8+M37+M83+M95</f>
        <v>6749849652.2800007</v>
      </c>
      <c r="N98" s="196">
        <f>+N8+N37+N83+N95</f>
        <v>33702050508.810001</v>
      </c>
      <c r="O98" s="197">
        <f t="shared" ref="O98:O113" si="44">+N98/I98</f>
        <v>0.22913238975266673</v>
      </c>
      <c r="P98" s="196">
        <f>+P8+P37+P83+P95</f>
        <v>33584242679.139999</v>
      </c>
      <c r="Q98" s="198">
        <f t="shared" ref="Q98:Q113" si="45">+P98/I98</f>
        <v>0.22833144176474515</v>
      </c>
      <c r="R98" s="199"/>
      <c r="AY98" s="201"/>
    </row>
    <row r="99" spans="1:51" s="187" customFormat="1" ht="32.4" x14ac:dyDescent="0.3">
      <c r="A99" s="202" t="s">
        <v>43</v>
      </c>
      <c r="B99" s="203" t="s">
        <v>25</v>
      </c>
      <c r="C99" s="203">
        <v>3</v>
      </c>
      <c r="D99" s="115"/>
      <c r="E99" s="115"/>
      <c r="F99" s="115"/>
      <c r="G99" s="115"/>
      <c r="H99" s="116" t="s">
        <v>198</v>
      </c>
      <c r="I99" s="204">
        <f>+I100</f>
        <v>12266327000</v>
      </c>
      <c r="J99" s="204">
        <f>+J100</f>
        <v>7755940667</v>
      </c>
      <c r="K99" s="205">
        <f t="shared" si="43"/>
        <v>0.63229528016006753</v>
      </c>
      <c r="L99" s="204">
        <f>+L100</f>
        <v>3328651359.8000002</v>
      </c>
      <c r="M99" s="204">
        <f>+M100</f>
        <v>1181734973.1999998</v>
      </c>
      <c r="N99" s="204">
        <f t="shared" ref="N99:P99" si="46">+N100</f>
        <v>877222648</v>
      </c>
      <c r="O99" s="205">
        <f t="shared" si="44"/>
        <v>7.1514696127047653E-2</v>
      </c>
      <c r="P99" s="204">
        <f t="shared" si="46"/>
        <v>877222648</v>
      </c>
      <c r="Q99" s="206">
        <f t="shared" si="45"/>
        <v>7.1514696127047653E-2</v>
      </c>
      <c r="R99" s="207"/>
      <c r="AW99" s="188"/>
    </row>
    <row r="100" spans="1:51" s="187" customFormat="1" ht="32.4" x14ac:dyDescent="0.3">
      <c r="A100" s="128" t="s">
        <v>43</v>
      </c>
      <c r="B100" s="129" t="s">
        <v>25</v>
      </c>
      <c r="C100" s="129">
        <v>3</v>
      </c>
      <c r="D100" s="129" t="s">
        <v>260</v>
      </c>
      <c r="E100" s="129"/>
      <c r="F100" s="166"/>
      <c r="G100" s="166"/>
      <c r="H100" s="130" t="s">
        <v>270</v>
      </c>
      <c r="I100" s="155">
        <f>+I101+I104+I107+I110</f>
        <v>12266327000</v>
      </c>
      <c r="J100" s="155">
        <f>+J101+J104+J107+J110</f>
        <v>7755940667</v>
      </c>
      <c r="K100" s="156">
        <f t="shared" si="43"/>
        <v>0.63229528016006753</v>
      </c>
      <c r="L100" s="155">
        <f>+L101+L104+L107+L110</f>
        <v>3328651359.8000002</v>
      </c>
      <c r="M100" s="155">
        <f>+M101+M104+M107+M110</f>
        <v>1181734973.1999998</v>
      </c>
      <c r="N100" s="155">
        <f>+N101+N104+N107</f>
        <v>877222648</v>
      </c>
      <c r="O100" s="156">
        <f t="shared" si="44"/>
        <v>7.1514696127047653E-2</v>
      </c>
      <c r="P100" s="155">
        <f>+P101+P104+P107</f>
        <v>877222648</v>
      </c>
      <c r="Q100" s="157">
        <f t="shared" si="45"/>
        <v>7.1514696127047653E-2</v>
      </c>
      <c r="R100" s="121"/>
      <c r="S100" s="207"/>
      <c r="T100" s="107"/>
      <c r="AY100" s="188"/>
    </row>
    <row r="101" spans="1:51" s="121" customFormat="1" ht="21.6" x14ac:dyDescent="0.3">
      <c r="A101" s="208" t="s">
        <v>43</v>
      </c>
      <c r="B101" s="149" t="s">
        <v>25</v>
      </c>
      <c r="C101" s="149">
        <v>3</v>
      </c>
      <c r="D101" s="149" t="s">
        <v>260</v>
      </c>
      <c r="E101" s="149">
        <v>1205005</v>
      </c>
      <c r="F101" s="149"/>
      <c r="G101" s="149"/>
      <c r="H101" s="158" t="s">
        <v>199</v>
      </c>
      <c r="I101" s="169">
        <f>+I102</f>
        <v>598579182</v>
      </c>
      <c r="J101" s="169">
        <f t="shared" ref="J101:P102" si="47">+J102</f>
        <v>504623300</v>
      </c>
      <c r="K101" s="159">
        <f t="shared" si="43"/>
        <v>0.84303516589723293</v>
      </c>
      <c r="L101" s="169">
        <f>+L102</f>
        <v>63955882</v>
      </c>
      <c r="M101" s="169">
        <f t="shared" si="47"/>
        <v>30000000</v>
      </c>
      <c r="N101" s="169">
        <f t="shared" si="47"/>
        <v>120423340</v>
      </c>
      <c r="O101" s="159">
        <f t="shared" si="44"/>
        <v>0.20118197161090043</v>
      </c>
      <c r="P101" s="169">
        <f>+P102</f>
        <v>120423340</v>
      </c>
      <c r="Q101" s="160">
        <f>+P101/I101</f>
        <v>0.20118197161090043</v>
      </c>
      <c r="R101" s="107"/>
      <c r="T101" s="209"/>
      <c r="AY101" s="122"/>
    </row>
    <row r="102" spans="1:51" s="121" customFormat="1" ht="54.75" customHeight="1" x14ac:dyDescent="0.3">
      <c r="A102" s="214" t="s">
        <v>43</v>
      </c>
      <c r="B102" s="215" t="s">
        <v>25</v>
      </c>
      <c r="C102" s="215">
        <v>3</v>
      </c>
      <c r="D102" s="215" t="s">
        <v>260</v>
      </c>
      <c r="E102" s="215">
        <v>1205005</v>
      </c>
      <c r="F102" s="216" t="s">
        <v>83</v>
      </c>
      <c r="G102" s="216"/>
      <c r="H102" s="306" t="s">
        <v>248</v>
      </c>
      <c r="I102" s="307">
        <f>+I103</f>
        <v>598579182</v>
      </c>
      <c r="J102" s="307">
        <f t="shared" si="47"/>
        <v>504623300</v>
      </c>
      <c r="K102" s="308">
        <f t="shared" si="43"/>
        <v>0.84303516589723293</v>
      </c>
      <c r="L102" s="307">
        <f t="shared" si="47"/>
        <v>63955882</v>
      </c>
      <c r="M102" s="169">
        <f t="shared" si="47"/>
        <v>30000000</v>
      </c>
      <c r="N102" s="307">
        <f t="shared" si="47"/>
        <v>120423340</v>
      </c>
      <c r="O102" s="308">
        <f t="shared" si="44"/>
        <v>0.20118197161090043</v>
      </c>
      <c r="P102" s="307">
        <f t="shared" si="47"/>
        <v>120423340</v>
      </c>
      <c r="Q102" s="309">
        <f t="shared" si="45"/>
        <v>0.20118197161090043</v>
      </c>
      <c r="AY102" s="122"/>
    </row>
    <row r="103" spans="1:51" ht="50.4" customHeight="1" x14ac:dyDescent="0.3">
      <c r="A103" s="210" t="s">
        <v>43</v>
      </c>
      <c r="B103" s="211" t="s">
        <v>25</v>
      </c>
      <c r="C103" s="211">
        <v>3</v>
      </c>
      <c r="D103" s="211" t="s">
        <v>260</v>
      </c>
      <c r="E103" s="211">
        <v>1205005</v>
      </c>
      <c r="F103" s="212" t="s">
        <v>83</v>
      </c>
      <c r="G103" s="212" t="s">
        <v>67</v>
      </c>
      <c r="H103" s="161" t="s">
        <v>207</v>
      </c>
      <c r="I103" s="153">
        <f>+'EJ. DESAGREGADA'!T63</f>
        <v>598579182</v>
      </c>
      <c r="J103" s="153">
        <f>+'EJ. DESAGREGADA'!X63</f>
        <v>504623300</v>
      </c>
      <c r="K103" s="162">
        <f t="shared" si="43"/>
        <v>0.84303516589723293</v>
      </c>
      <c r="L103" s="153">
        <f>+'EJ. DESAGREGADA'!AB63-M103</f>
        <v>63955882</v>
      </c>
      <c r="M103" s="153">
        <v>30000000</v>
      </c>
      <c r="N103" s="153">
        <f>+'EJ. DESAGREGADA'!Y63</f>
        <v>120423340</v>
      </c>
      <c r="O103" s="162">
        <f t="shared" si="44"/>
        <v>0.20118197161090043</v>
      </c>
      <c r="P103" s="153">
        <f>+'EJ. DESAGREGADA'!AA63</f>
        <v>120423340</v>
      </c>
      <c r="Q103" s="163">
        <f t="shared" si="45"/>
        <v>0.20118197161090043</v>
      </c>
      <c r="R103" s="107"/>
      <c r="AX103" s="113"/>
      <c r="AY103" s="107"/>
    </row>
    <row r="104" spans="1:51" ht="21.75" customHeight="1" x14ac:dyDescent="0.3">
      <c r="A104" s="214" t="s">
        <v>43</v>
      </c>
      <c r="B104" s="215" t="s">
        <v>25</v>
      </c>
      <c r="C104" s="215">
        <v>3</v>
      </c>
      <c r="D104" s="215" t="s">
        <v>260</v>
      </c>
      <c r="E104" s="215">
        <v>1205007</v>
      </c>
      <c r="F104" s="216"/>
      <c r="G104" s="216"/>
      <c r="H104" s="158" t="s">
        <v>201</v>
      </c>
      <c r="I104" s="169">
        <f>+I105</f>
        <v>3114651360</v>
      </c>
      <c r="J104" s="169">
        <f t="shared" ref="J104:M104" si="48">+J105</f>
        <v>286000000</v>
      </c>
      <c r="K104" s="159">
        <f t="shared" si="43"/>
        <v>9.1824081395742482E-2</v>
      </c>
      <c r="L104" s="169">
        <f>+L105</f>
        <v>2734695478</v>
      </c>
      <c r="M104" s="169">
        <f t="shared" si="48"/>
        <v>93955882</v>
      </c>
      <c r="N104" s="169">
        <f>+N105</f>
        <v>93300000</v>
      </c>
      <c r="O104" s="159">
        <f t="shared" si="44"/>
        <v>2.9955198581198508E-2</v>
      </c>
      <c r="P104" s="169">
        <f>+P105</f>
        <v>93300000</v>
      </c>
      <c r="Q104" s="160">
        <f t="shared" si="45"/>
        <v>2.9955198581198508E-2</v>
      </c>
      <c r="R104" s="107"/>
      <c r="AX104" s="113"/>
      <c r="AY104" s="107"/>
    </row>
    <row r="105" spans="1:51" s="121" customFormat="1" ht="64.2" customHeight="1" x14ac:dyDescent="0.3">
      <c r="A105" s="214" t="s">
        <v>43</v>
      </c>
      <c r="B105" s="215" t="s">
        <v>25</v>
      </c>
      <c r="C105" s="215">
        <v>3</v>
      </c>
      <c r="D105" s="215" t="s">
        <v>260</v>
      </c>
      <c r="E105" s="215">
        <v>1205007</v>
      </c>
      <c r="F105" s="216" t="s">
        <v>83</v>
      </c>
      <c r="G105" s="216"/>
      <c r="H105" s="306" t="s">
        <v>249</v>
      </c>
      <c r="I105" s="307">
        <f>+I106</f>
        <v>3114651360</v>
      </c>
      <c r="J105" s="307">
        <f>+J106</f>
        <v>286000000</v>
      </c>
      <c r="K105" s="308">
        <f t="shared" si="43"/>
        <v>9.1824081395742482E-2</v>
      </c>
      <c r="L105" s="307">
        <f>+L106</f>
        <v>2734695478</v>
      </c>
      <c r="M105" s="169">
        <f>+M106</f>
        <v>93955882</v>
      </c>
      <c r="N105" s="307">
        <f>+N106</f>
        <v>93300000</v>
      </c>
      <c r="O105" s="308">
        <f t="shared" si="44"/>
        <v>2.9955198581198508E-2</v>
      </c>
      <c r="P105" s="307">
        <f>+P106</f>
        <v>93300000</v>
      </c>
      <c r="Q105" s="309">
        <f t="shared" si="45"/>
        <v>2.9955198581198508E-2</v>
      </c>
      <c r="AX105" s="122"/>
    </row>
    <row r="106" spans="1:51" ht="57.6" customHeight="1" x14ac:dyDescent="0.3">
      <c r="A106" s="213" t="s">
        <v>43</v>
      </c>
      <c r="B106" s="182" t="s">
        <v>25</v>
      </c>
      <c r="C106" s="182">
        <v>3</v>
      </c>
      <c r="D106" s="182" t="s">
        <v>260</v>
      </c>
      <c r="E106" s="182">
        <v>1205007</v>
      </c>
      <c r="F106" s="217" t="s">
        <v>83</v>
      </c>
      <c r="G106" s="217" t="s">
        <v>67</v>
      </c>
      <c r="H106" s="161" t="s">
        <v>266</v>
      </c>
      <c r="I106" s="153">
        <f>+'EJ. DESAGREGADA'!T64</f>
        <v>3114651360</v>
      </c>
      <c r="J106" s="153">
        <f>+'EJ. DESAGREGADA'!X64</f>
        <v>286000000</v>
      </c>
      <c r="K106" s="162">
        <f t="shared" si="43"/>
        <v>9.1824081395742482E-2</v>
      </c>
      <c r="L106" s="153">
        <f>+'EJ. DESAGREGADA'!AB64-M106</f>
        <v>2734695478</v>
      </c>
      <c r="M106" s="153">
        <v>93955882</v>
      </c>
      <c r="N106" s="153">
        <f>+'EJ. DESAGREGADA'!Y64</f>
        <v>93300000</v>
      </c>
      <c r="O106" s="162">
        <f t="shared" si="44"/>
        <v>2.9955198581198508E-2</v>
      </c>
      <c r="P106" s="153">
        <f>+'EJ. DESAGREGADA'!AA64</f>
        <v>93300000</v>
      </c>
      <c r="Q106" s="163">
        <f t="shared" si="45"/>
        <v>2.9955198581198508E-2</v>
      </c>
      <c r="R106" s="107"/>
      <c r="AX106" s="113"/>
      <c r="AY106" s="107"/>
    </row>
    <row r="107" spans="1:51" ht="21.6" x14ac:dyDescent="0.3">
      <c r="A107" s="214" t="s">
        <v>43</v>
      </c>
      <c r="B107" s="215" t="s">
        <v>25</v>
      </c>
      <c r="C107" s="215">
        <v>3</v>
      </c>
      <c r="D107" s="215" t="s">
        <v>260</v>
      </c>
      <c r="E107" s="215">
        <v>1205008</v>
      </c>
      <c r="F107" s="216"/>
      <c r="G107" s="216"/>
      <c r="H107" s="158" t="s">
        <v>202</v>
      </c>
      <c r="I107" s="169">
        <f>+I108</f>
        <v>7194997685</v>
      </c>
      <c r="J107" s="169">
        <f>+J108</f>
        <v>5968997685</v>
      </c>
      <c r="K107" s="159">
        <f t="shared" ref="K107:K109" si="49">+J107/I107</f>
        <v>0.82960383676621019</v>
      </c>
      <c r="L107" s="169">
        <f>+L108</f>
        <v>410000000</v>
      </c>
      <c r="M107" s="169">
        <f t="shared" ref="M107:P108" si="50">+M108</f>
        <v>816000000</v>
      </c>
      <c r="N107" s="169">
        <f t="shared" si="50"/>
        <v>663499308</v>
      </c>
      <c r="O107" s="159">
        <f t="shared" ref="O107:O109" si="51">+N107/I107</f>
        <v>9.2216750727140778E-2</v>
      </c>
      <c r="P107" s="169">
        <f t="shared" si="50"/>
        <v>663499308</v>
      </c>
      <c r="Q107" s="160">
        <f t="shared" ref="Q107:Q109" si="52">+P107/I107</f>
        <v>9.2216750727140778E-2</v>
      </c>
      <c r="R107" s="107"/>
      <c r="AY107" s="107"/>
    </row>
    <row r="108" spans="1:51" s="121" customFormat="1" ht="94.5" customHeight="1" x14ac:dyDescent="0.3">
      <c r="A108" s="214" t="s">
        <v>43</v>
      </c>
      <c r="B108" s="215" t="s">
        <v>25</v>
      </c>
      <c r="C108" s="215">
        <v>3</v>
      </c>
      <c r="D108" s="215" t="s">
        <v>260</v>
      </c>
      <c r="E108" s="215">
        <v>1205008</v>
      </c>
      <c r="F108" s="216" t="s">
        <v>83</v>
      </c>
      <c r="G108" s="216"/>
      <c r="H108" s="158" t="s">
        <v>250</v>
      </c>
      <c r="I108" s="307">
        <f>+I109</f>
        <v>7194997685</v>
      </c>
      <c r="J108" s="307">
        <f>+J109</f>
        <v>5968997685</v>
      </c>
      <c r="K108" s="308">
        <f t="shared" si="49"/>
        <v>0.82960383676621019</v>
      </c>
      <c r="L108" s="169">
        <f>+L109</f>
        <v>410000000</v>
      </c>
      <c r="M108" s="169">
        <f t="shared" si="50"/>
        <v>816000000</v>
      </c>
      <c r="N108" s="307">
        <f t="shared" si="50"/>
        <v>663499308</v>
      </c>
      <c r="O108" s="308">
        <f t="shared" si="51"/>
        <v>9.2216750727140778E-2</v>
      </c>
      <c r="P108" s="307">
        <f t="shared" si="50"/>
        <v>663499308</v>
      </c>
      <c r="Q108" s="309">
        <f t="shared" si="52"/>
        <v>9.2216750727140778E-2</v>
      </c>
    </row>
    <row r="109" spans="1:51" ht="32.4" x14ac:dyDescent="0.3">
      <c r="A109" s="210" t="s">
        <v>43</v>
      </c>
      <c r="B109" s="211" t="s">
        <v>25</v>
      </c>
      <c r="C109" s="211">
        <v>3</v>
      </c>
      <c r="D109" s="211" t="s">
        <v>260</v>
      </c>
      <c r="E109" s="211">
        <v>1205008</v>
      </c>
      <c r="F109" s="212" t="s">
        <v>83</v>
      </c>
      <c r="G109" s="212" t="s">
        <v>83</v>
      </c>
      <c r="H109" s="161" t="s">
        <v>203</v>
      </c>
      <c r="I109" s="153">
        <f>+'EJ. DESAGREGADA'!T65</f>
        <v>7194997685</v>
      </c>
      <c r="J109" s="153">
        <f>+'EJ. DESAGREGADA'!X65</f>
        <v>5968997685</v>
      </c>
      <c r="K109" s="162">
        <f t="shared" si="49"/>
        <v>0.82960383676621019</v>
      </c>
      <c r="L109" s="153">
        <f>+'EJ. DESAGREGADA'!AB65-M109</f>
        <v>410000000</v>
      </c>
      <c r="M109" s="153">
        <v>816000000</v>
      </c>
      <c r="N109" s="153">
        <f>+'EJ. DESAGREGADA'!Y65</f>
        <v>663499308</v>
      </c>
      <c r="O109" s="162">
        <f t="shared" si="51"/>
        <v>9.2216750727140778E-2</v>
      </c>
      <c r="P109" s="153">
        <f>+'EJ. DESAGREGADA'!AA65</f>
        <v>663499308</v>
      </c>
      <c r="Q109" s="163">
        <f t="shared" si="52"/>
        <v>9.2216750727140778E-2</v>
      </c>
      <c r="R109" s="107"/>
      <c r="AY109" s="107"/>
    </row>
    <row r="110" spans="1:51" ht="21.6" x14ac:dyDescent="0.3">
      <c r="A110" s="214">
        <v>1205</v>
      </c>
      <c r="B110" s="215">
        <v>800</v>
      </c>
      <c r="C110" s="215">
        <v>3</v>
      </c>
      <c r="D110" s="215" t="s">
        <v>260</v>
      </c>
      <c r="E110" s="215">
        <v>1205007</v>
      </c>
      <c r="F110" s="216"/>
      <c r="G110" s="216"/>
      <c r="H110" s="158"/>
      <c r="I110" s="169">
        <f>+I111</f>
        <v>1358098773</v>
      </c>
      <c r="J110" s="169">
        <f t="shared" ref="J110:P111" si="53">+J111</f>
        <v>996319682</v>
      </c>
      <c r="K110" s="169">
        <f t="shared" si="53"/>
        <v>0.73361356464460925</v>
      </c>
      <c r="L110" s="169">
        <f t="shared" si="53"/>
        <v>119999999.80000019</v>
      </c>
      <c r="M110" s="169">
        <f t="shared" si="53"/>
        <v>241779091.19999981</v>
      </c>
      <c r="N110" s="169">
        <f t="shared" si="53"/>
        <v>380106367</v>
      </c>
      <c r="O110" s="169">
        <f t="shared" si="53"/>
        <v>0.27988123879999999</v>
      </c>
      <c r="P110" s="169">
        <f t="shared" si="53"/>
        <v>380106367</v>
      </c>
      <c r="Q110" s="160"/>
      <c r="R110" s="107"/>
      <c r="AY110" s="107"/>
    </row>
    <row r="111" spans="1:51" s="121" customFormat="1" ht="79.95" customHeight="1" x14ac:dyDescent="0.3">
      <c r="A111" s="214">
        <v>1205</v>
      </c>
      <c r="B111" s="215">
        <v>800</v>
      </c>
      <c r="C111" s="215">
        <v>3</v>
      </c>
      <c r="D111" s="215" t="s">
        <v>260</v>
      </c>
      <c r="E111" s="215">
        <v>125007</v>
      </c>
      <c r="F111" s="216" t="s">
        <v>83</v>
      </c>
      <c r="G111" s="216"/>
      <c r="H111" s="158"/>
      <c r="I111" s="307">
        <f>+I112</f>
        <v>1358098773</v>
      </c>
      <c r="J111" s="307">
        <f t="shared" si="53"/>
        <v>996319682</v>
      </c>
      <c r="K111" s="307">
        <f t="shared" si="53"/>
        <v>0.73361356464460925</v>
      </c>
      <c r="L111" s="307">
        <f t="shared" si="53"/>
        <v>119999999.80000019</v>
      </c>
      <c r="M111" s="169">
        <f t="shared" si="53"/>
        <v>241779091.19999981</v>
      </c>
      <c r="N111" s="307">
        <f t="shared" si="53"/>
        <v>380106367</v>
      </c>
      <c r="O111" s="307">
        <f t="shared" si="53"/>
        <v>0.27988123879999999</v>
      </c>
      <c r="P111" s="307">
        <f t="shared" si="53"/>
        <v>380106367</v>
      </c>
      <c r="Q111" s="309"/>
    </row>
    <row r="112" spans="1:51" ht="21.6" x14ac:dyDescent="0.3">
      <c r="A112" s="210">
        <v>1205</v>
      </c>
      <c r="B112" s="211">
        <v>800</v>
      </c>
      <c r="C112" s="211">
        <v>3</v>
      </c>
      <c r="D112" s="211" t="s">
        <v>260</v>
      </c>
      <c r="E112" s="211">
        <v>125007</v>
      </c>
      <c r="F112" s="212" t="s">
        <v>83</v>
      </c>
      <c r="G112" s="212" t="s">
        <v>89</v>
      </c>
      <c r="H112" s="161" t="s">
        <v>269</v>
      </c>
      <c r="I112" s="153">
        <f>+'EJ. DESAGREGADA'!T66</f>
        <v>1358098773</v>
      </c>
      <c r="J112" s="153">
        <f>+'EJ. DESAGREGADA'!X66</f>
        <v>996319682</v>
      </c>
      <c r="K112" s="162">
        <f t="shared" ref="K112" si="54">+J112/I112</f>
        <v>0.73361356464460925</v>
      </c>
      <c r="L112" s="153">
        <f>+'EJ. DESAGREGADA'!AB66-M112</f>
        <v>119999999.80000019</v>
      </c>
      <c r="M112" s="153">
        <f>+'EJ. DESAGREGADA'!W67+241779091</f>
        <v>241779091.19999981</v>
      </c>
      <c r="N112" s="153">
        <f>+'EJ. DESAGREGADA'!Y66</f>
        <v>380106367</v>
      </c>
      <c r="O112" s="162">
        <f t="shared" ref="O112" si="55">+N112/I112</f>
        <v>0.27988123879999999</v>
      </c>
      <c r="P112" s="153">
        <f>+'EJ. DESAGREGADA'!AA66</f>
        <v>380106367</v>
      </c>
      <c r="Q112" s="163">
        <f t="shared" ref="Q112" si="56">+P112/I112</f>
        <v>0.27988123879999999</v>
      </c>
      <c r="R112" s="107"/>
      <c r="AY112" s="107"/>
    </row>
    <row r="113" spans="1:51" s="222" customFormat="1" ht="24" customHeight="1" thickBot="1" x14ac:dyDescent="0.35">
      <c r="A113" s="346" t="s">
        <v>44</v>
      </c>
      <c r="B113" s="347"/>
      <c r="C113" s="347"/>
      <c r="D113" s="347"/>
      <c r="E113" s="347"/>
      <c r="F113" s="347"/>
      <c r="G113" s="348"/>
      <c r="H113" s="218" t="s">
        <v>12</v>
      </c>
      <c r="I113" s="219">
        <f>+I99</f>
        <v>12266327000</v>
      </c>
      <c r="J113" s="219">
        <f>+J99</f>
        <v>7755940667</v>
      </c>
      <c r="K113" s="220">
        <f t="shared" si="43"/>
        <v>0.63229528016006753</v>
      </c>
      <c r="L113" s="219">
        <f>+L99</f>
        <v>3328651359.8000002</v>
      </c>
      <c r="M113" s="219">
        <f>+M99</f>
        <v>1181734973.1999998</v>
      </c>
      <c r="N113" s="219">
        <f>+N99</f>
        <v>877222648</v>
      </c>
      <c r="O113" s="220">
        <f t="shared" si="44"/>
        <v>7.1514696127047653E-2</v>
      </c>
      <c r="P113" s="219">
        <f>+P99</f>
        <v>877222648</v>
      </c>
      <c r="Q113" s="221">
        <f t="shared" si="45"/>
        <v>7.1514696127047653E-2</v>
      </c>
      <c r="AY113" s="223"/>
    </row>
    <row r="114" spans="1:51" ht="11.4" thickBot="1" x14ac:dyDescent="0.35">
      <c r="A114" s="224"/>
      <c r="B114" s="224"/>
      <c r="C114" s="224"/>
      <c r="D114" s="224"/>
      <c r="E114" s="224"/>
      <c r="F114" s="224"/>
      <c r="G114" s="224"/>
      <c r="H114" s="225"/>
      <c r="I114" s="120"/>
      <c r="J114" s="120"/>
      <c r="K114" s="120"/>
      <c r="L114" s="226"/>
      <c r="M114" s="226"/>
      <c r="N114" s="226"/>
      <c r="O114" s="226"/>
      <c r="P114" s="226"/>
      <c r="Q114" s="226"/>
    </row>
    <row r="115" spans="1:51" s="121" customFormat="1" ht="24" x14ac:dyDescent="0.3">
      <c r="A115" s="224"/>
      <c r="B115" s="224"/>
      <c r="C115" s="224"/>
      <c r="D115" s="224"/>
      <c r="E115" s="224"/>
      <c r="F115" s="224"/>
      <c r="G115" s="224"/>
      <c r="H115" s="342" t="s">
        <v>13</v>
      </c>
      <c r="I115" s="343"/>
      <c r="J115" s="343"/>
      <c r="K115" s="343"/>
      <c r="L115" s="343"/>
      <c r="M115" s="343"/>
      <c r="N115" s="343"/>
      <c r="O115" s="343"/>
      <c r="P115" s="343"/>
      <c r="Q115" s="344"/>
      <c r="AV115" s="122"/>
    </row>
    <row r="116" spans="1:51" s="121" customFormat="1" ht="46.5" customHeight="1" x14ac:dyDescent="0.3">
      <c r="A116" s="224"/>
      <c r="B116" s="224"/>
      <c r="C116" s="224"/>
      <c r="D116" s="224"/>
      <c r="E116" s="224"/>
      <c r="F116" s="224"/>
      <c r="G116" s="224"/>
      <c r="H116" s="227"/>
      <c r="I116" s="228" t="s">
        <v>23</v>
      </c>
      <c r="J116" s="228" t="s">
        <v>17</v>
      </c>
      <c r="K116" s="228" t="s">
        <v>229</v>
      </c>
      <c r="L116" s="228" t="s">
        <v>210</v>
      </c>
      <c r="M116" s="228" t="s">
        <v>204</v>
      </c>
      <c r="N116" s="228" t="s">
        <v>20</v>
      </c>
      <c r="O116" s="228" t="s">
        <v>230</v>
      </c>
      <c r="P116" s="228" t="s">
        <v>21</v>
      </c>
      <c r="Q116" s="244" t="s">
        <v>231</v>
      </c>
      <c r="R116" s="148"/>
      <c r="S116" s="107"/>
      <c r="AY116" s="122"/>
    </row>
    <row r="117" spans="1:51" s="121" customFormat="1" x14ac:dyDescent="0.3">
      <c r="A117" s="224"/>
      <c r="B117" s="224"/>
      <c r="C117" s="224"/>
      <c r="D117" s="224"/>
      <c r="E117" s="224"/>
      <c r="F117" s="224"/>
      <c r="G117" s="224"/>
      <c r="H117" s="229" t="s">
        <v>4</v>
      </c>
      <c r="I117" s="137">
        <f>+I8-I36</f>
        <v>58386800000</v>
      </c>
      <c r="J117" s="137">
        <f>+J8</f>
        <v>18436266437.650002</v>
      </c>
      <c r="K117" s="139">
        <f>+J117/I117</f>
        <v>0.31576086440171414</v>
      </c>
      <c r="L117" s="137">
        <f>+L8</f>
        <v>39950533562.349998</v>
      </c>
      <c r="M117" s="151">
        <f>+M8</f>
        <v>0</v>
      </c>
      <c r="N117" s="137">
        <f>+N8</f>
        <v>18430114730.650002</v>
      </c>
      <c r="O117" s="139">
        <f>+N117/I117</f>
        <v>0.3156555031385519</v>
      </c>
      <c r="P117" s="137">
        <f>+P8</f>
        <v>18386308754.650002</v>
      </c>
      <c r="Q117" s="140">
        <f>+P117/I117</f>
        <v>0.31490523122777753</v>
      </c>
      <c r="R117" s="148"/>
      <c r="AY117" s="122"/>
    </row>
    <row r="118" spans="1:51" s="121" customFormat="1" x14ac:dyDescent="0.3">
      <c r="A118" s="224"/>
      <c r="B118" s="224"/>
      <c r="C118" s="224"/>
      <c r="D118" s="224"/>
      <c r="E118" s="224"/>
      <c r="F118" s="224"/>
      <c r="G118" s="224"/>
      <c r="H118" s="229" t="s">
        <v>228</v>
      </c>
      <c r="I118" s="137">
        <f>+I37</f>
        <v>18832000000</v>
      </c>
      <c r="J118" s="137">
        <f>+J37</f>
        <v>14739962062.220001</v>
      </c>
      <c r="K118" s="139">
        <f t="shared" ref="K118:K120" si="57">+J118/I118</f>
        <v>0.78270826583581143</v>
      </c>
      <c r="L118" s="137">
        <f>+L37</f>
        <v>3530555903.2700005</v>
      </c>
      <c r="M118" s="151">
        <f>+M37</f>
        <v>561482034.50999999</v>
      </c>
      <c r="N118" s="137">
        <f>+N37</f>
        <v>5251221813.8499994</v>
      </c>
      <c r="O118" s="139">
        <f t="shared" ref="O118:O120" si="58">+N118/I118</f>
        <v>0.27884567830554374</v>
      </c>
      <c r="P118" s="137">
        <f>+P37</f>
        <v>5205692781.8499994</v>
      </c>
      <c r="Q118" s="140">
        <f t="shared" ref="Q118:Q120" si="59">+P118/I118</f>
        <v>0.27642803641939251</v>
      </c>
      <c r="R118" s="148"/>
      <c r="AY118" s="122"/>
    </row>
    <row r="119" spans="1:51" s="121" customFormat="1" x14ac:dyDescent="0.3">
      <c r="A119" s="224"/>
      <c r="B119" s="224"/>
      <c r="C119" s="224"/>
      <c r="D119" s="224"/>
      <c r="E119" s="224"/>
      <c r="F119" s="224"/>
      <c r="G119" s="224"/>
      <c r="H119" s="229" t="s">
        <v>9</v>
      </c>
      <c r="I119" s="137">
        <f>+I83-I87</f>
        <v>56273092999</v>
      </c>
      <c r="J119" s="137">
        <f>+J83</f>
        <v>28917494949.150002</v>
      </c>
      <c r="K119" s="139">
        <f t="shared" si="57"/>
        <v>0.51387783055862735</v>
      </c>
      <c r="L119" s="137">
        <f>+L83</f>
        <v>21466330432</v>
      </c>
      <c r="M119" s="151">
        <f>+M83</f>
        <v>5889267617.7700005</v>
      </c>
      <c r="N119" s="137">
        <f>+N83</f>
        <v>10020713964.310001</v>
      </c>
      <c r="O119" s="139">
        <f t="shared" si="58"/>
        <v>0.17807291958322025</v>
      </c>
      <c r="P119" s="137">
        <f>+P83</f>
        <v>9992241142.6399994</v>
      </c>
      <c r="Q119" s="140">
        <f t="shared" si="59"/>
        <v>0.17756694381127347</v>
      </c>
      <c r="R119" s="148"/>
      <c r="AY119" s="122"/>
    </row>
    <row r="120" spans="1:51" s="121" customFormat="1" x14ac:dyDescent="0.3">
      <c r="A120" s="224"/>
      <c r="B120" s="224"/>
      <c r="C120" s="224"/>
      <c r="D120" s="224"/>
      <c r="E120" s="224"/>
      <c r="F120" s="224"/>
      <c r="G120" s="224"/>
      <c r="H120" s="229" t="s">
        <v>116</v>
      </c>
      <c r="I120" s="137">
        <f>+I95</f>
        <v>299100000</v>
      </c>
      <c r="J120" s="137">
        <f>+J95</f>
        <v>0</v>
      </c>
      <c r="K120" s="139">
        <f t="shared" si="57"/>
        <v>0</v>
      </c>
      <c r="L120" s="137">
        <f>+L95</f>
        <v>0</v>
      </c>
      <c r="M120" s="151">
        <f>+M95</f>
        <v>299100000</v>
      </c>
      <c r="N120" s="137">
        <f>+N95</f>
        <v>0</v>
      </c>
      <c r="O120" s="139">
        <f t="shared" si="58"/>
        <v>0</v>
      </c>
      <c r="P120" s="137">
        <f>+P95</f>
        <v>0</v>
      </c>
      <c r="Q120" s="140">
        <f t="shared" si="59"/>
        <v>0</v>
      </c>
      <c r="R120" s="148"/>
      <c r="AY120" s="122"/>
    </row>
    <row r="121" spans="1:51" s="121" customFormat="1" x14ac:dyDescent="0.3">
      <c r="A121" s="224"/>
      <c r="B121" s="224"/>
      <c r="C121" s="224"/>
      <c r="D121" s="224"/>
      <c r="E121" s="224"/>
      <c r="F121" s="224"/>
      <c r="G121" s="224"/>
      <c r="H121" s="230" t="s">
        <v>11</v>
      </c>
      <c r="I121" s="231">
        <f>SUM(I117:I120)</f>
        <v>133790992999</v>
      </c>
      <c r="J121" s="231">
        <f>SUM(J117:J120)</f>
        <v>62093723449.020004</v>
      </c>
      <c r="K121" s="232">
        <f>+J121/I121</f>
        <v>0.46410989302907796</v>
      </c>
      <c r="L121" s="231">
        <f>SUM(L117:L120)</f>
        <v>64947419897.619995</v>
      </c>
      <c r="M121" s="151">
        <f t="shared" ref="M121:P121" si="60">SUM(M117:M120)</f>
        <v>6749849652.2800007</v>
      </c>
      <c r="N121" s="231">
        <f t="shared" si="60"/>
        <v>33702050508.810001</v>
      </c>
      <c r="O121" s="232">
        <f>+N121/I121</f>
        <v>0.25190074274328694</v>
      </c>
      <c r="P121" s="231">
        <f t="shared" si="60"/>
        <v>33584242679.139999</v>
      </c>
      <c r="Q121" s="245">
        <f>+P121/I121</f>
        <v>0.2510202064154724</v>
      </c>
      <c r="R121" s="148"/>
      <c r="AY121" s="122"/>
    </row>
    <row r="122" spans="1:51" x14ac:dyDescent="0.3">
      <c r="A122" s="224"/>
      <c r="B122" s="224"/>
      <c r="C122" s="224"/>
      <c r="D122" s="224"/>
      <c r="E122" s="224"/>
      <c r="F122" s="224"/>
      <c r="G122" s="224"/>
      <c r="H122" s="230" t="s">
        <v>224</v>
      </c>
      <c r="I122" s="231">
        <f>+I113</f>
        <v>12266327000</v>
      </c>
      <c r="J122" s="231">
        <f>+J113</f>
        <v>7755940667</v>
      </c>
      <c r="K122" s="232">
        <f>+J122/I122</f>
        <v>0.63229528016006753</v>
      </c>
      <c r="L122" s="231">
        <f>+L113</f>
        <v>3328651359.8000002</v>
      </c>
      <c r="M122" s="151">
        <f t="shared" ref="M122:P122" si="61">+M113</f>
        <v>1181734973.1999998</v>
      </c>
      <c r="N122" s="231">
        <f t="shared" si="61"/>
        <v>877222648</v>
      </c>
      <c r="O122" s="232">
        <f>+N122/I122</f>
        <v>7.1514696127047653E-2</v>
      </c>
      <c r="P122" s="231">
        <f t="shared" si="61"/>
        <v>877222648</v>
      </c>
      <c r="Q122" s="245">
        <f>+P122/I122</f>
        <v>7.1514696127047653E-2</v>
      </c>
    </row>
    <row r="123" spans="1:51" ht="14.4" thickBot="1" x14ac:dyDescent="0.35">
      <c r="A123" s="224"/>
      <c r="B123" s="224"/>
      <c r="C123" s="224"/>
      <c r="D123" s="224"/>
      <c r="E123" s="224"/>
      <c r="F123" s="224"/>
      <c r="G123" s="224"/>
      <c r="H123" s="251" t="s">
        <v>14</v>
      </c>
      <c r="I123" s="219">
        <f>+I121+I122</f>
        <v>146057319999</v>
      </c>
      <c r="J123" s="219">
        <f t="shared" ref="J123:P123" si="62">+J121+J122</f>
        <v>69849664116.020004</v>
      </c>
      <c r="K123" s="220">
        <f>+J123/I123</f>
        <v>0.47823460074783131</v>
      </c>
      <c r="L123" s="219">
        <f>+L121+L122</f>
        <v>68276071257.419998</v>
      </c>
      <c r="M123" s="219">
        <f t="shared" si="62"/>
        <v>7931584625.4800005</v>
      </c>
      <c r="N123" s="219">
        <f t="shared" si="62"/>
        <v>34579273156.809998</v>
      </c>
      <c r="O123" s="220">
        <f>+N123/I123</f>
        <v>0.23675138744875471</v>
      </c>
      <c r="P123" s="219">
        <f t="shared" si="62"/>
        <v>34461465327.139999</v>
      </c>
      <c r="Q123" s="220">
        <f>+P123/I123</f>
        <v>0.23594480117378536</v>
      </c>
    </row>
    <row r="124" spans="1:51" x14ac:dyDescent="0.3">
      <c r="A124" s="345" t="s">
        <v>28</v>
      </c>
      <c r="B124" s="345"/>
      <c r="C124" s="345"/>
      <c r="D124" s="345"/>
      <c r="E124" s="345"/>
      <c r="F124" s="345"/>
      <c r="G124" s="224"/>
      <c r="H124" s="233"/>
      <c r="I124" s="174"/>
      <c r="J124" s="174"/>
      <c r="K124" s="174"/>
      <c r="L124" s="174"/>
      <c r="M124" s="120"/>
      <c r="N124" s="174"/>
      <c r="O124" s="174"/>
      <c r="P124" s="174"/>
      <c r="Q124" s="174"/>
      <c r="R124" s="107"/>
    </row>
    <row r="125" spans="1:51" x14ac:dyDescent="0.3">
      <c r="B125" s="224"/>
      <c r="C125" s="224"/>
      <c r="D125" s="224"/>
      <c r="E125" s="224"/>
      <c r="F125" s="224"/>
      <c r="G125" s="224"/>
      <c r="H125" s="233"/>
      <c r="I125" s="234"/>
      <c r="J125" s="174"/>
      <c r="K125" s="174"/>
      <c r="L125" s="174"/>
      <c r="M125" s="120"/>
      <c r="N125" s="174"/>
      <c r="O125" s="174"/>
      <c r="P125" s="174"/>
      <c r="Q125" s="174"/>
      <c r="AX125" s="113"/>
      <c r="AY125" s="107"/>
    </row>
    <row r="126" spans="1:51" x14ac:dyDescent="0.3">
      <c r="A126" s="224"/>
      <c r="B126" s="224"/>
      <c r="C126" s="224"/>
      <c r="D126" s="224"/>
      <c r="E126" s="224"/>
      <c r="F126" s="224"/>
      <c r="G126" s="224"/>
      <c r="H126" s="233"/>
      <c r="I126" s="174"/>
      <c r="J126" s="174"/>
      <c r="K126" s="174"/>
      <c r="L126" s="174"/>
      <c r="M126" s="120"/>
      <c r="N126" s="174"/>
      <c r="O126" s="174"/>
      <c r="P126" s="174"/>
      <c r="Q126" s="174"/>
      <c r="R126" s="107"/>
    </row>
    <row r="127" spans="1:51" x14ac:dyDescent="0.3">
      <c r="A127" s="224"/>
      <c r="B127" s="224"/>
      <c r="C127" s="224"/>
      <c r="D127" s="224"/>
      <c r="E127" s="224"/>
      <c r="F127" s="224"/>
      <c r="G127" s="224"/>
      <c r="H127" s="233"/>
      <c r="I127" s="174"/>
      <c r="J127" s="174"/>
      <c r="K127" s="174"/>
      <c r="L127" s="174"/>
      <c r="M127" s="120"/>
      <c r="N127" s="174"/>
      <c r="O127" s="174"/>
      <c r="P127" s="174"/>
      <c r="Q127" s="174"/>
      <c r="R127" s="107"/>
      <c r="AY127" s="107"/>
    </row>
    <row r="128" spans="1:51" x14ac:dyDescent="0.3">
      <c r="A128" s="224"/>
      <c r="B128" s="224"/>
      <c r="C128" s="224"/>
      <c r="D128" s="224"/>
      <c r="E128" s="224"/>
      <c r="F128" s="224"/>
      <c r="G128" s="224"/>
      <c r="H128" s="233"/>
      <c r="I128" s="174"/>
      <c r="J128" s="174"/>
      <c r="K128" s="174"/>
      <c r="L128" s="174"/>
      <c r="M128" s="120"/>
      <c r="N128" s="174"/>
      <c r="O128" s="174"/>
      <c r="P128" s="174"/>
      <c r="Q128" s="174"/>
      <c r="R128" s="107"/>
      <c r="AY128" s="107"/>
    </row>
    <row r="129" spans="1:51" x14ac:dyDescent="0.3">
      <c r="A129" s="224"/>
      <c r="B129" s="224"/>
      <c r="C129" s="224"/>
      <c r="D129" s="224"/>
      <c r="E129" s="224"/>
      <c r="F129" s="224"/>
      <c r="G129" s="224"/>
      <c r="H129" s="233"/>
      <c r="I129" s="174"/>
      <c r="J129" s="174"/>
      <c r="K129" s="174"/>
      <c r="L129" s="174"/>
      <c r="M129" s="120"/>
      <c r="N129" s="174"/>
      <c r="O129" s="174"/>
      <c r="P129" s="174"/>
      <c r="Q129" s="174"/>
      <c r="R129" s="107"/>
      <c r="AY129" s="107"/>
    </row>
    <row r="130" spans="1:51" x14ac:dyDescent="0.3">
      <c r="A130" s="224"/>
      <c r="B130" s="224"/>
      <c r="C130" s="224"/>
      <c r="D130" s="224"/>
      <c r="E130" s="224"/>
      <c r="F130" s="224"/>
      <c r="G130" s="224"/>
      <c r="H130" s="233"/>
      <c r="I130" s="174"/>
      <c r="J130" s="174"/>
      <c r="K130" s="174"/>
      <c r="L130" s="174"/>
      <c r="M130" s="120"/>
      <c r="N130" s="174"/>
      <c r="O130" s="174"/>
      <c r="P130" s="174"/>
      <c r="Q130" s="174"/>
      <c r="AX130" s="113"/>
      <c r="AY130" s="107"/>
    </row>
    <row r="131" spans="1:51" x14ac:dyDescent="0.3">
      <c r="A131" s="224"/>
      <c r="B131" s="224"/>
      <c r="C131" s="224"/>
      <c r="D131" s="224"/>
      <c r="E131" s="224"/>
      <c r="F131" s="224"/>
      <c r="G131" s="224"/>
      <c r="H131" s="233"/>
      <c r="I131" s="174"/>
      <c r="J131" s="174"/>
      <c r="K131" s="174"/>
      <c r="L131" s="174"/>
      <c r="M131" s="120"/>
      <c r="N131" s="174"/>
      <c r="O131" s="174"/>
      <c r="P131" s="174"/>
      <c r="Q131" s="174"/>
    </row>
    <row r="132" spans="1:51" x14ac:dyDescent="0.3">
      <c r="I132" s="107"/>
      <c r="J132" s="107"/>
      <c r="K132" s="107"/>
      <c r="L132" s="235"/>
      <c r="N132" s="107"/>
      <c r="O132" s="107"/>
      <c r="P132" s="107"/>
      <c r="Q132" s="107"/>
    </row>
    <row r="133" spans="1:51" x14ac:dyDescent="0.3">
      <c r="A133" s="337"/>
      <c r="B133" s="337"/>
      <c r="C133" s="337"/>
      <c r="D133" s="337"/>
      <c r="E133" s="337"/>
      <c r="F133" s="337"/>
      <c r="G133" s="337"/>
      <c r="H133" s="338"/>
      <c r="I133" s="339"/>
      <c r="J133" s="339"/>
      <c r="K133" s="339"/>
      <c r="L133" s="339"/>
      <c r="M133" s="339"/>
      <c r="N133" s="340"/>
      <c r="O133" s="340"/>
      <c r="P133" s="341"/>
      <c r="Q133" s="341"/>
    </row>
    <row r="134" spans="1:51" ht="15" x14ac:dyDescent="0.3">
      <c r="A134" s="336" t="s">
        <v>253</v>
      </c>
      <c r="B134" s="336"/>
      <c r="C134" s="336"/>
      <c r="D134" s="336"/>
      <c r="E134" s="336"/>
      <c r="F134" s="336"/>
      <c r="G134" s="336"/>
      <c r="H134" s="336"/>
      <c r="I134" s="336"/>
      <c r="J134" s="336"/>
      <c r="K134" s="336"/>
      <c r="L134" s="336"/>
      <c r="M134" s="336"/>
      <c r="N134" s="336"/>
      <c r="O134" s="336"/>
      <c r="P134" s="336"/>
      <c r="Q134" s="336"/>
    </row>
    <row r="136" spans="1:51" x14ac:dyDescent="0.3">
      <c r="I136" s="236"/>
      <c r="J136" s="236"/>
      <c r="K136" s="236"/>
      <c r="L136" s="237"/>
      <c r="M136" s="316"/>
    </row>
    <row r="137" spans="1:51" x14ac:dyDescent="0.3">
      <c r="H137" s="238"/>
      <c r="I137" s="236"/>
      <c r="J137" s="236"/>
      <c r="K137" s="236"/>
      <c r="L137" s="236"/>
      <c r="M137" s="316"/>
    </row>
    <row r="139" spans="1:51" x14ac:dyDescent="0.3">
      <c r="H139" s="238"/>
      <c r="I139" s="236"/>
      <c r="J139" s="236"/>
      <c r="K139" s="236"/>
      <c r="L139" s="236"/>
      <c r="M139" s="316"/>
    </row>
    <row r="140" spans="1:51" x14ac:dyDescent="0.3">
      <c r="H140" s="238"/>
      <c r="I140" s="236"/>
      <c r="J140" s="236"/>
      <c r="K140" s="236"/>
      <c r="L140" s="236"/>
      <c r="M140" s="316"/>
    </row>
    <row r="141" spans="1:51" x14ac:dyDescent="0.3">
      <c r="H141" s="239"/>
      <c r="J141" s="236"/>
      <c r="K141" s="236"/>
      <c r="L141" s="236"/>
      <c r="M141" s="316"/>
    </row>
    <row r="142" spans="1:51" x14ac:dyDescent="0.3">
      <c r="H142" s="239"/>
      <c r="J142" s="236"/>
      <c r="K142" s="236"/>
    </row>
    <row r="150" spans="2:7" x14ac:dyDescent="0.3">
      <c r="B150" s="240"/>
      <c r="C150" s="240"/>
      <c r="D150" s="240"/>
      <c r="E150" s="240"/>
      <c r="F150" s="240"/>
      <c r="G150" s="240"/>
    </row>
    <row r="151" spans="2:7" x14ac:dyDescent="0.3">
      <c r="B151" s="240"/>
      <c r="C151" s="240"/>
      <c r="D151" s="240"/>
      <c r="E151" s="240"/>
      <c r="F151" s="241"/>
      <c r="G151" s="241"/>
    </row>
    <row r="152" spans="2:7" x14ac:dyDescent="0.3">
      <c r="B152" s="242"/>
      <c r="C152" s="242"/>
      <c r="D152" s="241"/>
      <c r="E152" s="241"/>
      <c r="F152" s="243"/>
      <c r="G152" s="243"/>
    </row>
    <row r="153" spans="2:7" x14ac:dyDescent="0.3">
      <c r="B153" s="242"/>
      <c r="C153" s="240"/>
      <c r="D153" s="243"/>
      <c r="E153" s="243"/>
    </row>
  </sheetData>
  <mergeCells count="27">
    <mergeCell ref="A134:Q134"/>
    <mergeCell ref="A133:Q133"/>
    <mergeCell ref="M6:M7"/>
    <mergeCell ref="H115:Q115"/>
    <mergeCell ref="A124:F124"/>
    <mergeCell ref="D6:D7"/>
    <mergeCell ref="E6:E7"/>
    <mergeCell ref="F6:F7"/>
    <mergeCell ref="G6:G7"/>
    <mergeCell ref="A113:G113"/>
    <mergeCell ref="A98:G98"/>
    <mergeCell ref="A1:Q2"/>
    <mergeCell ref="A5:H5"/>
    <mergeCell ref="A4:Q4"/>
    <mergeCell ref="H6:H7"/>
    <mergeCell ref="J6:J7"/>
    <mergeCell ref="L6:L7"/>
    <mergeCell ref="N6:N7"/>
    <mergeCell ref="P6:P7"/>
    <mergeCell ref="I6:I7"/>
    <mergeCell ref="A3:Q3"/>
    <mergeCell ref="O6:O7"/>
    <mergeCell ref="Q6:Q7"/>
    <mergeCell ref="K6:K7"/>
    <mergeCell ref="A6:A7"/>
    <mergeCell ref="B6:B7"/>
    <mergeCell ref="C6:C7"/>
  </mergeCells>
  <printOptions horizontalCentered="1"/>
  <pageMargins left="0.62992125984251968" right="0" top="0.28000000000000003" bottom="0.37" header="0.98425196850393704" footer="0"/>
  <pageSetup scale="54" fitToHeight="0" orientation="landscape" r:id="rId1"/>
  <headerFooter alignWithMargins="0"/>
  <ignoredErrors>
    <ignoredError sqref="A95:C97 A83:D86 A9:E35 A99:B100 C93 A88:D91 A105:C105 A103:C103 A104:C104 A106:C106 A101:C101 E101:G101 A102:C102 E102:G102 E103:G103 E104 E105:G105 E106:F106 A107:C107 E107:G107 A108:C108 E108:G108 A109:C109 E109:G109" numberStoredAsText="1"/>
    <ignoredError sqref="K8:K15 K88:K89 O88:O89 Q88:Q89 O43:O44 Q43:Q45 K56 O56 Q56 K66 O66 Q66 K61 O61 Q61 K70 O70 Q70 K77 O77 Q77 K83:K85 Q83:Q85 O81 O83:O85 Q95:Q96 O8:O35 Q37 Q81 Q92:Q93 O98:O99 K98:K99 Q113 K113 O113 N102:O102 J102:K102 K48 K86 K117:K123 O117:O123 Q117:Q122 R106 I101:P101 O86 I104:Q105 O48 K92:K96 K43:K45 O92:O96 K103 O103 Q98:Q103 K106:K109 O106:O109 Q106:Q109 K100 K37 K17:K35 Q8:Q35 Q86 O10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1C9BF-25E3-47E7-A0CE-DEB4ADB071F0}">
  <sheetPr>
    <tabColor theme="6" tint="0.39997558519241921"/>
    <pageSetUpPr fitToPage="1"/>
  </sheetPr>
  <dimension ref="A2:S162"/>
  <sheetViews>
    <sheetView showGridLines="0" topLeftCell="A14" zoomScale="77" zoomScaleNormal="77" workbookViewId="0">
      <selection activeCell="I19" sqref="I19"/>
    </sheetView>
  </sheetViews>
  <sheetFormatPr baseColWidth="10" defaultColWidth="11.44140625" defaultRowHeight="12" customHeight="1" x14ac:dyDescent="0.3"/>
  <cols>
    <col min="1" max="1" width="5" style="14" customWidth="1"/>
    <col min="2" max="2" width="5.33203125" style="14" customWidth="1"/>
    <col min="3" max="3" width="5" style="14" customWidth="1"/>
    <col min="4" max="5" width="7.44140625" style="14" customWidth="1"/>
    <col min="6" max="6" width="5.5546875" style="14" customWidth="1"/>
    <col min="7" max="7" width="7.5546875" style="14" customWidth="1"/>
    <col min="8" max="8" width="65.88671875" style="14" bestFit="1" customWidth="1"/>
    <col min="9" max="9" width="24" style="16" customWidth="1"/>
    <col min="10" max="10" width="25.44140625" style="16" customWidth="1"/>
    <col min="11" max="11" width="22.109375" style="14" customWidth="1"/>
    <col min="12" max="12" width="22" style="16" customWidth="1"/>
    <col min="13" max="13" width="25.5546875" style="16" customWidth="1"/>
    <col min="14" max="14" width="23.109375" style="17" customWidth="1"/>
    <col min="15" max="15" width="14" style="85" bestFit="1" customWidth="1"/>
    <col min="16" max="16" width="16" style="14" bestFit="1" customWidth="1"/>
    <col min="17" max="17" width="13" style="14" bestFit="1" customWidth="1"/>
    <col min="18" max="18" width="7.6640625" style="14" customWidth="1"/>
    <col min="19" max="19" width="15.88671875" style="15" bestFit="1" customWidth="1"/>
    <col min="20" max="16384" width="11.44140625" style="14"/>
  </cols>
  <sheetData>
    <row r="2" spans="1:19" s="262" customFormat="1" ht="27" customHeight="1" x14ac:dyDescent="0.3">
      <c r="A2" s="372" t="s">
        <v>227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261"/>
      <c r="S2" s="263"/>
    </row>
    <row r="3" spans="1:19" s="262" customFormat="1" ht="27" customHeight="1" x14ac:dyDescent="0.3">
      <c r="A3" s="372" t="str">
        <f>+'EJECUCION AGENCIA'!A4:M4</f>
        <v>CON CORTE A: 31 DE MAYO  2025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261"/>
      <c r="S3" s="263"/>
    </row>
    <row r="4" spans="1:19" s="262" customFormat="1" ht="27" customHeight="1" x14ac:dyDescent="0.3">
      <c r="A4" s="261"/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S4" s="263"/>
    </row>
    <row r="5" spans="1:19" ht="17.25" customHeight="1" thickBot="1" x14ac:dyDescent="0.3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3"/>
    </row>
    <row r="6" spans="1:19" ht="12" customHeight="1" x14ac:dyDescent="0.3">
      <c r="A6" s="373" t="s">
        <v>252</v>
      </c>
      <c r="B6" s="374"/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  <c r="O6" s="375"/>
    </row>
    <row r="7" spans="1:19" ht="20.25" customHeight="1" thickBot="1" x14ac:dyDescent="0.35">
      <c r="A7" s="376"/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377"/>
      <c r="N7" s="377"/>
      <c r="O7" s="378"/>
      <c r="P7" s="16"/>
    </row>
    <row r="8" spans="1:19" ht="18" customHeight="1" x14ac:dyDescent="0.3">
      <c r="A8" s="389" t="s">
        <v>0</v>
      </c>
      <c r="B8" s="355" t="s">
        <v>62</v>
      </c>
      <c r="C8" s="355" t="s">
        <v>61</v>
      </c>
      <c r="D8" s="355" t="s">
        <v>1</v>
      </c>
      <c r="E8" s="355" t="s">
        <v>60</v>
      </c>
      <c r="F8" s="355" t="s">
        <v>59</v>
      </c>
      <c r="G8" s="355" t="s">
        <v>58</v>
      </c>
      <c r="H8" s="364" t="s">
        <v>15</v>
      </c>
      <c r="I8" s="364" t="s">
        <v>222</v>
      </c>
      <c r="J8" s="370" t="s">
        <v>19</v>
      </c>
      <c r="K8" s="370" t="s">
        <v>18</v>
      </c>
      <c r="L8" s="366" t="s">
        <v>20</v>
      </c>
      <c r="M8" s="366" t="s">
        <v>21</v>
      </c>
      <c r="N8" s="366" t="s">
        <v>225</v>
      </c>
      <c r="O8" s="368" t="s">
        <v>226</v>
      </c>
      <c r="P8" s="360" t="s">
        <v>240</v>
      </c>
      <c r="Q8" s="362" t="s">
        <v>241</v>
      </c>
    </row>
    <row r="9" spans="1:19" ht="18" customHeight="1" x14ac:dyDescent="0.3">
      <c r="A9" s="390"/>
      <c r="B9" s="356"/>
      <c r="C9" s="356"/>
      <c r="D9" s="356"/>
      <c r="E9" s="356"/>
      <c r="F9" s="356"/>
      <c r="G9" s="356"/>
      <c r="H9" s="365"/>
      <c r="I9" s="365"/>
      <c r="J9" s="371"/>
      <c r="K9" s="371"/>
      <c r="L9" s="367"/>
      <c r="M9" s="367"/>
      <c r="N9" s="367"/>
      <c r="O9" s="369"/>
      <c r="P9" s="361"/>
      <c r="Q9" s="363"/>
    </row>
    <row r="10" spans="1:19" ht="26.25" customHeight="1" x14ac:dyDescent="0.3">
      <c r="A10" s="73">
        <v>1</v>
      </c>
      <c r="B10" s="68"/>
      <c r="C10" s="66"/>
      <c r="D10" s="66"/>
      <c r="E10" s="66"/>
      <c r="F10" s="66"/>
      <c r="G10" s="67"/>
      <c r="H10" s="60" t="s">
        <v>4</v>
      </c>
      <c r="I10" s="62">
        <f>SUM(I11:I14)</f>
        <v>66681300000</v>
      </c>
      <c r="J10" s="62">
        <f t="shared" ref="J10:M10" si="0">SUM(J11:J13)</f>
        <v>18436266437.650002</v>
      </c>
      <c r="K10" s="62">
        <f t="shared" si="0"/>
        <v>39950533562.349998</v>
      </c>
      <c r="L10" s="62">
        <f t="shared" si="0"/>
        <v>18430114730.650002</v>
      </c>
      <c r="M10" s="62">
        <f t="shared" si="0"/>
        <v>18386308754.650002</v>
      </c>
      <c r="N10" s="62">
        <f>SUM(N11:N13)</f>
        <v>0</v>
      </c>
      <c r="O10" s="57">
        <f>+J10/I10</f>
        <v>0.27648330847853897</v>
      </c>
      <c r="P10" s="252">
        <f t="shared" ref="P10:P15" si="1">+L10/I10</f>
        <v>0.27639105312358941</v>
      </c>
      <c r="Q10" s="57">
        <f t="shared" ref="Q10:Q15" si="2">+M10/I10</f>
        <v>0.27573410768311357</v>
      </c>
    </row>
    <row r="11" spans="1:19" ht="26.25" customHeight="1" x14ac:dyDescent="0.3">
      <c r="A11" s="35" t="s">
        <v>67</v>
      </c>
      <c r="B11" s="20" t="s">
        <v>67</v>
      </c>
      <c r="C11" s="20" t="s">
        <v>67</v>
      </c>
      <c r="D11" s="20"/>
      <c r="E11" s="20"/>
      <c r="F11" s="20"/>
      <c r="G11" s="25"/>
      <c r="H11" s="26" t="s">
        <v>69</v>
      </c>
      <c r="I11" s="23">
        <f>+'EJECUCION AGENCIA'!I10</f>
        <v>40005200000</v>
      </c>
      <c r="J11" s="22">
        <f>+'EJECUCION AGENCIA'!J10</f>
        <v>12473060378</v>
      </c>
      <c r="K11" s="22">
        <f>+'EJECUCION AGENCIA'!L10</f>
        <v>27532139622</v>
      </c>
      <c r="L11" s="23">
        <f>+'EJECUCION AGENCIA'!N10</f>
        <v>12468147656</v>
      </c>
      <c r="M11" s="23">
        <f>+'EJECUCION AGENCIA'!P10</f>
        <v>12446504846</v>
      </c>
      <c r="N11" s="27">
        <f>+'EJECUCION AGENCIA'!M10</f>
        <v>0</v>
      </c>
      <c r="O11" s="264">
        <f>+J11/I11</f>
        <v>0.31178597727295454</v>
      </c>
      <c r="P11" s="253">
        <f t="shared" si="1"/>
        <v>0.31166317518722564</v>
      </c>
      <c r="Q11" s="28">
        <f t="shared" si="2"/>
        <v>0.31112217526721525</v>
      </c>
      <c r="R11" s="16"/>
    </row>
    <row r="12" spans="1:19" ht="26.25" customHeight="1" x14ac:dyDescent="0.3">
      <c r="A12" s="35" t="s">
        <v>67</v>
      </c>
      <c r="B12" s="20" t="s">
        <v>67</v>
      </c>
      <c r="C12" s="20" t="s">
        <v>83</v>
      </c>
      <c r="D12" s="25"/>
      <c r="E12" s="25"/>
      <c r="F12" s="25"/>
      <c r="G12" s="25"/>
      <c r="H12" s="29" t="s">
        <v>82</v>
      </c>
      <c r="I12" s="23">
        <f>+'EJECUCION AGENCIA'!I19</f>
        <v>13920200000</v>
      </c>
      <c r="J12" s="22">
        <f>+'EJECUCION AGENCIA'!J19</f>
        <v>4954574359.6499996</v>
      </c>
      <c r="K12" s="22">
        <f>+'EJECUCION AGENCIA'!L19</f>
        <v>8965625640.3500004</v>
      </c>
      <c r="L12" s="23">
        <f>+'EJECUCION AGENCIA'!N19</f>
        <v>4954574359.6499996</v>
      </c>
      <c r="M12" s="23">
        <f>+'EJECUCION AGENCIA'!P19</f>
        <v>4954521859.6499996</v>
      </c>
      <c r="N12" s="27">
        <f>+'EJECUCION AGENCIA'!M19</f>
        <v>0</v>
      </c>
      <c r="O12" s="264">
        <f>+J12/I12</f>
        <v>0.35592695217381931</v>
      </c>
      <c r="P12" s="253">
        <f t="shared" si="1"/>
        <v>0.35592695217381931</v>
      </c>
      <c r="Q12" s="28">
        <f t="shared" si="2"/>
        <v>0.35592318067628337</v>
      </c>
      <c r="R12" s="16"/>
    </row>
    <row r="13" spans="1:19" ht="26.25" customHeight="1" x14ac:dyDescent="0.3">
      <c r="A13" s="35" t="s">
        <v>67</v>
      </c>
      <c r="B13" s="20" t="s">
        <v>67</v>
      </c>
      <c r="C13" s="20" t="s">
        <v>89</v>
      </c>
      <c r="D13" s="25"/>
      <c r="E13" s="25"/>
      <c r="F13" s="25"/>
      <c r="G13" s="25"/>
      <c r="H13" s="29" t="s">
        <v>90</v>
      </c>
      <c r="I13" s="23">
        <f>+'EJECUCION AGENCIA'!I27</f>
        <v>4461400000</v>
      </c>
      <c r="J13" s="22">
        <f>+'EJECUCION AGENCIA'!J27</f>
        <v>1008631700</v>
      </c>
      <c r="K13" s="22">
        <f>+'EJECUCION AGENCIA'!L27</f>
        <v>3452768300</v>
      </c>
      <c r="L13" s="23">
        <f>+'EJECUCION AGENCIA'!N27</f>
        <v>1007392715</v>
      </c>
      <c r="M13" s="22">
        <f>+'EJECUCION AGENCIA'!P27</f>
        <v>985282049</v>
      </c>
      <c r="N13" s="27">
        <f>+'EJECUCION AGENCIA'!M27</f>
        <v>0</v>
      </c>
      <c r="O13" s="264">
        <f>+J13/I13</f>
        <v>0.22607963867844175</v>
      </c>
      <c r="P13" s="253">
        <f t="shared" si="1"/>
        <v>0.22580192652530595</v>
      </c>
      <c r="Q13" s="28">
        <f t="shared" si="2"/>
        <v>0.22084593378760031</v>
      </c>
      <c r="R13" s="16"/>
    </row>
    <row r="14" spans="1:19" ht="26.25" customHeight="1" x14ac:dyDescent="0.3">
      <c r="A14" s="289"/>
      <c r="B14" s="290"/>
      <c r="C14" s="290"/>
      <c r="D14" s="291"/>
      <c r="E14" s="291"/>
      <c r="F14" s="291"/>
      <c r="G14" s="292"/>
      <c r="H14" s="29" t="s">
        <v>290</v>
      </c>
      <c r="I14" s="23">
        <f>+'EJECUCION AGENCIA'!I36</f>
        <v>8294500000</v>
      </c>
      <c r="J14" s="22"/>
      <c r="K14" s="22"/>
      <c r="L14" s="23"/>
      <c r="M14" s="22"/>
      <c r="N14" s="27"/>
      <c r="O14" s="264"/>
      <c r="P14" s="253"/>
      <c r="Q14" s="28"/>
      <c r="R14" s="16"/>
    </row>
    <row r="15" spans="1:19" s="13" customFormat="1" ht="26.25" customHeight="1" x14ac:dyDescent="0.3">
      <c r="A15" s="74" t="s">
        <v>83</v>
      </c>
      <c r="B15" s="69"/>
      <c r="C15" s="69"/>
      <c r="D15" s="69"/>
      <c r="E15" s="69"/>
      <c r="F15" s="69"/>
      <c r="G15" s="70"/>
      <c r="H15" s="60" t="s">
        <v>98</v>
      </c>
      <c r="I15" s="58">
        <f>SUM(I16:I17)</f>
        <v>18832000000</v>
      </c>
      <c r="J15" s="58">
        <f>SUM(J16:J17)</f>
        <v>14739962062.220001</v>
      </c>
      <c r="K15" s="58">
        <f>SUM(K16:K17)</f>
        <v>3530555903.2700005</v>
      </c>
      <c r="L15" s="58">
        <f t="shared" ref="L15:N15" si="3">SUM(L16:L17)</f>
        <v>5251221813.8499994</v>
      </c>
      <c r="M15" s="58">
        <f t="shared" si="3"/>
        <v>5205692781.8499994</v>
      </c>
      <c r="N15" s="58">
        <f t="shared" si="3"/>
        <v>561482034.50999999</v>
      </c>
      <c r="O15" s="57">
        <f>+J15/I15</f>
        <v>0.78270826583581143</v>
      </c>
      <c r="P15" s="252">
        <f t="shared" si="1"/>
        <v>0.27884567830554374</v>
      </c>
      <c r="Q15" s="57">
        <f t="shared" si="2"/>
        <v>0.27642803641939251</v>
      </c>
      <c r="S15" s="288"/>
    </row>
    <row r="16" spans="1:19" ht="26.25" customHeight="1" x14ac:dyDescent="0.3">
      <c r="A16" s="31">
        <v>2</v>
      </c>
      <c r="B16" s="25">
        <v>1</v>
      </c>
      <c r="C16" s="25"/>
      <c r="D16" s="25"/>
      <c r="E16" s="25"/>
      <c r="F16" s="25"/>
      <c r="G16" s="25"/>
      <c r="H16" s="63" t="s">
        <v>302</v>
      </c>
      <c r="I16" s="23">
        <f>'EJECUCION AGENCIA'!I38</f>
        <v>70000000</v>
      </c>
      <c r="J16" s="22">
        <f>'EJECUCION AGENCIA'!J38</f>
        <v>0</v>
      </c>
      <c r="K16" s="22">
        <f>'EJECUCION AGENCIA'!L38</f>
        <v>70000000</v>
      </c>
      <c r="L16" s="22">
        <f>'EJECUCION AGENCIA'!N38</f>
        <v>0</v>
      </c>
      <c r="M16" s="22">
        <f>+'EJECUCION AGENCIA'!M40</f>
        <v>0</v>
      </c>
      <c r="N16" s="22">
        <f>'EJECUCION AGENCIA'!M38</f>
        <v>0</v>
      </c>
      <c r="O16" s="264"/>
      <c r="P16" s="253"/>
      <c r="Q16" s="28"/>
      <c r="R16" s="16"/>
    </row>
    <row r="17" spans="1:19" ht="26.25" customHeight="1" x14ac:dyDescent="0.3">
      <c r="A17" s="31" t="s">
        <v>83</v>
      </c>
      <c r="B17" s="25" t="s">
        <v>83</v>
      </c>
      <c r="C17" s="25">
        <v>1</v>
      </c>
      <c r="D17" s="25"/>
      <c r="E17" s="25"/>
      <c r="F17" s="25"/>
      <c r="G17" s="25"/>
      <c r="H17" s="63" t="s">
        <v>99</v>
      </c>
      <c r="I17" s="23">
        <f>'EJECUCION AGENCIA'!I43</f>
        <v>18762000000</v>
      </c>
      <c r="J17" s="22">
        <f>+'EJECUCION AGENCIA'!J43</f>
        <v>14739962062.220001</v>
      </c>
      <c r="K17" s="22">
        <f>'EJECUCION AGENCIA'!L43</f>
        <v>3460555903.2700005</v>
      </c>
      <c r="L17" s="22">
        <f>'EJECUCION AGENCIA'!N43</f>
        <v>5251221813.8499994</v>
      </c>
      <c r="M17" s="22">
        <f>'EJECUCION AGENCIA'!P43</f>
        <v>5205692781.8499994</v>
      </c>
      <c r="N17" s="22">
        <f>'EJECUCION AGENCIA'!M43</f>
        <v>561482034.50999999</v>
      </c>
      <c r="O17" s="264">
        <f t="shared" ref="O17:O19" si="4">+J17/I17</f>
        <v>0.78562850774011306</v>
      </c>
      <c r="P17" s="253">
        <f t="shared" ref="P17:P32" si="5">+L17/I17</f>
        <v>0.27988603634207437</v>
      </c>
      <c r="Q17" s="28">
        <f t="shared" ref="Q17:Q32" si="6">+M17/I17</f>
        <v>0.27745937436573925</v>
      </c>
      <c r="R17" s="16"/>
    </row>
    <row r="18" spans="1:19" s="13" customFormat="1" ht="26.25" customHeight="1" x14ac:dyDescent="0.3">
      <c r="A18" s="75" t="s">
        <v>89</v>
      </c>
      <c r="B18" s="71"/>
      <c r="C18" s="71"/>
      <c r="D18" s="71"/>
      <c r="E18" s="71"/>
      <c r="F18" s="71"/>
      <c r="G18" s="72"/>
      <c r="H18" s="60" t="s">
        <v>9</v>
      </c>
      <c r="I18" s="58">
        <f>SUM(I19:I23)</f>
        <v>61273092999</v>
      </c>
      <c r="J18" s="58">
        <f t="shared" ref="J18:M18" si="7">SUM(J19:J23)</f>
        <v>28917494949.150002</v>
      </c>
      <c r="K18" s="58">
        <f t="shared" si="7"/>
        <v>21466330432</v>
      </c>
      <c r="L18" s="58">
        <f t="shared" si="7"/>
        <v>10020713964.310001</v>
      </c>
      <c r="M18" s="58">
        <f t="shared" si="7"/>
        <v>9992241142.6399994</v>
      </c>
      <c r="N18" s="58">
        <f>SUM(N19:N23)</f>
        <v>5889267617.7700005</v>
      </c>
      <c r="O18" s="57">
        <f>+J18/I18</f>
        <v>0.47194442999020708</v>
      </c>
      <c r="P18" s="252">
        <f>+L18/I18</f>
        <v>0.16354183335372907</v>
      </c>
      <c r="Q18" s="254">
        <f>+M18/I18</f>
        <v>0.16307714615945823</v>
      </c>
      <c r="R18" s="59"/>
      <c r="S18" s="48"/>
    </row>
    <row r="19" spans="1:19" ht="26.25" customHeight="1" x14ac:dyDescent="0.3">
      <c r="A19" s="35" t="s">
        <v>89</v>
      </c>
      <c r="B19" s="20" t="s">
        <v>89</v>
      </c>
      <c r="C19" s="20" t="s">
        <v>67</v>
      </c>
      <c r="D19" s="5">
        <v>78</v>
      </c>
      <c r="E19" s="33"/>
      <c r="F19" s="33"/>
      <c r="G19" s="33"/>
      <c r="H19" s="29" t="s">
        <v>27</v>
      </c>
      <c r="I19" s="23">
        <f>'EJECUCION AGENCIA'!I86</f>
        <v>51736700000</v>
      </c>
      <c r="J19" s="24">
        <f>+'EJECUCION AGENCIA'!J86</f>
        <v>24750356515.610001</v>
      </c>
      <c r="K19" s="24">
        <f>+'EJECUCION AGENCIA'!L86</f>
        <v>21177862698</v>
      </c>
      <c r="L19" s="23">
        <f>+'EJECUCION AGENCIA'!N86</f>
        <v>5859934732.7700005</v>
      </c>
      <c r="M19" s="23">
        <f>+'EJECUCION AGENCIA'!P86</f>
        <v>5831461911.1000004</v>
      </c>
      <c r="N19" s="27">
        <f>+'EJECUCION AGENCIA'!M86</f>
        <v>5808480786.3900003</v>
      </c>
      <c r="O19" s="264">
        <f t="shared" si="4"/>
        <v>0.47839070747863705</v>
      </c>
      <c r="P19" s="253">
        <f t="shared" si="5"/>
        <v>0.11326456331327665</v>
      </c>
      <c r="Q19" s="28">
        <f t="shared" si="6"/>
        <v>0.11271422242044817</v>
      </c>
      <c r="R19" s="16"/>
      <c r="S19" s="18"/>
    </row>
    <row r="20" spans="1:19" ht="26.25" customHeight="1" x14ac:dyDescent="0.3">
      <c r="A20" s="36" t="s">
        <v>89</v>
      </c>
      <c r="B20" s="37" t="s">
        <v>89</v>
      </c>
      <c r="C20" s="37" t="s">
        <v>67</v>
      </c>
      <c r="D20" s="283">
        <v>999</v>
      </c>
      <c r="E20" s="33"/>
      <c r="F20" s="33"/>
      <c r="G20" s="33"/>
      <c r="H20" s="29" t="s">
        <v>258</v>
      </c>
      <c r="I20" s="23">
        <f>'EJECUCION AGENCIA'!I87</f>
        <v>5000000000</v>
      </c>
      <c r="J20" s="24">
        <f>+'EJECUCION AGENCIA'!J87</f>
        <v>0</v>
      </c>
      <c r="K20" s="24">
        <f>+'EJECUCION AGENCIA'!L87</f>
        <v>0</v>
      </c>
      <c r="L20" s="23">
        <f>+'EJECUCION AGENCIA'!N87</f>
        <v>0</v>
      </c>
      <c r="M20" s="23">
        <f>+'EJECUCION AGENCIA'!P87</f>
        <v>0</v>
      </c>
      <c r="N20" s="27">
        <f>+'EJECUCION AGENCIA'!M87</f>
        <v>0</v>
      </c>
      <c r="O20" s="264">
        <f t="shared" ref="O20" si="8">+J20/I20</f>
        <v>0</v>
      </c>
      <c r="P20" s="253">
        <f t="shared" ref="P20" si="9">+L20/I20</f>
        <v>0</v>
      </c>
      <c r="Q20" s="28">
        <f t="shared" ref="Q20" si="10">+M20/I20</f>
        <v>0</v>
      </c>
      <c r="R20" s="16"/>
      <c r="S20" s="18"/>
    </row>
    <row r="21" spans="1:19" ht="26.25" customHeight="1" x14ac:dyDescent="0.3">
      <c r="A21" s="35" t="s">
        <v>89</v>
      </c>
      <c r="B21" s="20" t="s">
        <v>108</v>
      </c>
      <c r="C21" s="37" t="s">
        <v>83</v>
      </c>
      <c r="D21" s="37" t="s">
        <v>110</v>
      </c>
      <c r="E21" s="6" t="s">
        <v>70</v>
      </c>
      <c r="F21" s="6"/>
      <c r="G21" s="25"/>
      <c r="H21" s="29" t="s">
        <v>154</v>
      </c>
      <c r="I21" s="23">
        <f>+'EJECUCION AGENCIA'!I90</f>
        <v>140300000</v>
      </c>
      <c r="J21" s="24">
        <f>+'EJECUCION AGENCIA'!J90</f>
        <v>25545698</v>
      </c>
      <c r="K21" s="24">
        <f>+'EJECUCION AGENCIA'!L90</f>
        <v>114754302</v>
      </c>
      <c r="L21" s="23">
        <f>+'EJECUCION AGENCIA'!N90</f>
        <v>19186496</v>
      </c>
      <c r="M21" s="23">
        <f>+'EJECUCION AGENCIA'!P90</f>
        <v>19186496</v>
      </c>
      <c r="N21" s="27">
        <f>+'EJECUCION AGENCIA'!M90</f>
        <v>0</v>
      </c>
      <c r="O21" s="264">
        <f t="shared" ref="O21:O22" si="11">+J21/I21</f>
        <v>0.18207910192444762</v>
      </c>
      <c r="P21" s="253">
        <f t="shared" ref="P21:P22" si="12">+L21/I21</f>
        <v>0.13675335709194583</v>
      </c>
      <c r="Q21" s="28">
        <f t="shared" ref="Q21:Q22" si="13">+M21/I21</f>
        <v>0.13675335709194583</v>
      </c>
      <c r="R21" s="16"/>
      <c r="S21" s="18"/>
    </row>
    <row r="22" spans="1:19" ht="26.25" customHeight="1" x14ac:dyDescent="0.3">
      <c r="A22" s="36" t="s">
        <v>89</v>
      </c>
      <c r="B22" s="20" t="s">
        <v>108</v>
      </c>
      <c r="C22" s="37" t="s">
        <v>83</v>
      </c>
      <c r="D22" s="37" t="s">
        <v>110</v>
      </c>
      <c r="E22" s="6" t="s">
        <v>84</v>
      </c>
      <c r="F22" s="6"/>
      <c r="G22" s="25"/>
      <c r="H22" s="29" t="s">
        <v>117</v>
      </c>
      <c r="I22" s="23">
        <f>+'EJECUCION AGENCIA'!I91</f>
        <v>122400000</v>
      </c>
      <c r="J22" s="24">
        <f>+'EJECUCION AGENCIA'!J91</f>
        <v>19861568</v>
      </c>
      <c r="K22" s="24">
        <f>+'EJECUCION AGENCIA'!L91</f>
        <v>102538432</v>
      </c>
      <c r="L22" s="23">
        <f>+'EJECUCION AGENCIA'!N91</f>
        <v>19861568</v>
      </c>
      <c r="M22" s="23">
        <f>+'EJECUCION AGENCIA'!P91</f>
        <v>19861568</v>
      </c>
      <c r="N22" s="27">
        <f>+'EJECUCION AGENCIA'!M91</f>
        <v>0</v>
      </c>
      <c r="O22" s="264">
        <f t="shared" si="11"/>
        <v>0.16226771241830065</v>
      </c>
      <c r="P22" s="253">
        <f t="shared" si="12"/>
        <v>0.16226771241830065</v>
      </c>
      <c r="Q22" s="28">
        <f t="shared" si="13"/>
        <v>0.16226771241830065</v>
      </c>
      <c r="S22" s="18"/>
    </row>
    <row r="23" spans="1:19" ht="26.25" customHeight="1" x14ac:dyDescent="0.3">
      <c r="A23" s="36" t="s">
        <v>89</v>
      </c>
      <c r="B23" s="20">
        <v>10</v>
      </c>
      <c r="C23" s="37" t="s">
        <v>83</v>
      </c>
      <c r="D23" s="37" t="s">
        <v>70</v>
      </c>
      <c r="E23" s="6"/>
      <c r="F23" s="6"/>
      <c r="G23" s="25"/>
      <c r="H23" s="29" t="s">
        <v>246</v>
      </c>
      <c r="I23" s="21">
        <f>+'EJECUCION AGENCIA'!I94</f>
        <v>4273692999</v>
      </c>
      <c r="J23" s="23">
        <f>+'EJECUCION AGENCIA'!J94</f>
        <v>4121731167.54</v>
      </c>
      <c r="K23" s="23">
        <f>+'EJECUCION AGENCIA'!L94</f>
        <v>71175000.000000224</v>
      </c>
      <c r="L23" s="23">
        <f>+'EJECUCION AGENCIA'!N94</f>
        <v>4121731167.54</v>
      </c>
      <c r="M23" s="23">
        <f>+'EJECUCION AGENCIA'!P94</f>
        <v>4121731167.54</v>
      </c>
      <c r="N23" s="21">
        <f>+'EJECUCION AGENCIA'!M94</f>
        <v>80786831.38000001</v>
      </c>
      <c r="O23" s="264">
        <f>+J23/I23</f>
        <v>0.96444250172027857</v>
      </c>
      <c r="P23" s="255">
        <f t="shared" si="5"/>
        <v>0.96444250172027857</v>
      </c>
      <c r="Q23" s="106">
        <f>+M23/I23</f>
        <v>0.96444250172027857</v>
      </c>
      <c r="S23" s="18"/>
    </row>
    <row r="24" spans="1:19" s="13" customFormat="1" ht="26.25" customHeight="1" x14ac:dyDescent="0.3">
      <c r="A24" s="357" t="s">
        <v>112</v>
      </c>
      <c r="B24" s="358"/>
      <c r="C24" s="358"/>
      <c r="D24" s="358"/>
      <c r="E24" s="358"/>
      <c r="F24" s="358"/>
      <c r="G24" s="359"/>
      <c r="H24" s="64" t="str">
        <f>+'EJECUCION AGENCIA'!H95</f>
        <v>GASTOS POR TRIBUTOS, MULTAS, SANCIONES E INTERESES DE MORA</v>
      </c>
      <c r="I24" s="58">
        <f>SUM(I25)</f>
        <v>299100000</v>
      </c>
      <c r="J24" s="58">
        <f t="shared" ref="J24:N24" si="14">SUM(J25)</f>
        <v>0</v>
      </c>
      <c r="K24" s="58">
        <f t="shared" si="14"/>
        <v>0</v>
      </c>
      <c r="L24" s="58">
        <f t="shared" si="14"/>
        <v>0</v>
      </c>
      <c r="M24" s="58">
        <f t="shared" si="14"/>
        <v>0</v>
      </c>
      <c r="N24" s="58">
        <f t="shared" si="14"/>
        <v>299100000</v>
      </c>
      <c r="O24" s="57">
        <f>+J24/I24</f>
        <v>0</v>
      </c>
      <c r="P24" s="252">
        <f t="shared" si="5"/>
        <v>0</v>
      </c>
      <c r="Q24" s="57">
        <f t="shared" si="6"/>
        <v>0</v>
      </c>
      <c r="R24" s="38"/>
      <c r="S24" s="39"/>
    </row>
    <row r="25" spans="1:19" ht="26.25" customHeight="1" x14ac:dyDescent="0.3">
      <c r="A25" s="35" t="s">
        <v>112</v>
      </c>
      <c r="B25" s="20" t="s">
        <v>108</v>
      </c>
      <c r="C25" s="20" t="s">
        <v>67</v>
      </c>
      <c r="D25" s="20"/>
      <c r="E25" s="33"/>
      <c r="F25" s="33"/>
      <c r="G25" s="40"/>
      <c r="H25" s="65" t="str">
        <f>+'EJECUCION AGENCIA'!H97</f>
        <v>CUOTA DE FISCALIZACIÓN Y AUDITAJE</v>
      </c>
      <c r="I25" s="23">
        <f>+'EJECUCION AGENCIA'!I97</f>
        <v>299100000</v>
      </c>
      <c r="J25" s="24">
        <f>'EJECUCION AGENCIA'!J97</f>
        <v>0</v>
      </c>
      <c r="K25" s="34">
        <f>+'EJECUCION AGENCIA'!L97</f>
        <v>0</v>
      </c>
      <c r="L25" s="27">
        <f>+'EJECUCION AGENCIA'!N97</f>
        <v>0</v>
      </c>
      <c r="M25" s="27">
        <f>+'EJECUCION AGENCIA'!P97</f>
        <v>0</v>
      </c>
      <c r="N25" s="27">
        <f>+'EJECUCION AGENCIA'!M97</f>
        <v>299100000</v>
      </c>
      <c r="O25" s="28">
        <f>+J25/I25</f>
        <v>0</v>
      </c>
      <c r="P25" s="253">
        <f t="shared" si="5"/>
        <v>0</v>
      </c>
      <c r="Q25" s="28">
        <f t="shared" si="6"/>
        <v>0</v>
      </c>
      <c r="S25" s="18"/>
    </row>
    <row r="26" spans="1:19" ht="26.25" customHeight="1" x14ac:dyDescent="0.3">
      <c r="A26" s="383" t="s">
        <v>239</v>
      </c>
      <c r="B26" s="384"/>
      <c r="C26" s="384"/>
      <c r="D26" s="384"/>
      <c r="E26" s="384"/>
      <c r="F26" s="384"/>
      <c r="G26" s="384"/>
      <c r="H26" s="385"/>
      <c r="I26" s="41">
        <f>I10+I15+I18+I24</f>
        <v>147085492999</v>
      </c>
      <c r="J26" s="41">
        <f t="shared" ref="J26:N26" si="15">J10+J15+J18+J24</f>
        <v>62093723449.020004</v>
      </c>
      <c r="K26" s="41">
        <f t="shared" si="15"/>
        <v>64947419897.619995</v>
      </c>
      <c r="L26" s="41">
        <f t="shared" si="15"/>
        <v>33702050508.810001</v>
      </c>
      <c r="M26" s="41">
        <f t="shared" si="15"/>
        <v>33584242679.139999</v>
      </c>
      <c r="N26" s="41">
        <f t="shared" si="15"/>
        <v>6749849652.2800007</v>
      </c>
      <c r="O26" s="42">
        <f>+J26/I26</f>
        <v>0.42216075958926941</v>
      </c>
      <c r="P26" s="256">
        <f t="shared" si="5"/>
        <v>0.22913238975266673</v>
      </c>
      <c r="Q26" s="42">
        <f t="shared" si="6"/>
        <v>0.22833144176474515</v>
      </c>
    </row>
    <row r="27" spans="1:19" ht="36" customHeight="1" x14ac:dyDescent="0.3">
      <c r="A27" s="61" t="s">
        <v>43</v>
      </c>
      <c r="B27" s="7" t="s">
        <v>25</v>
      </c>
      <c r="C27" s="7">
        <v>3</v>
      </c>
      <c r="D27" s="352"/>
      <c r="E27" s="353"/>
      <c r="F27" s="353"/>
      <c r="G27" s="354"/>
      <c r="H27" s="60" t="s">
        <v>198</v>
      </c>
      <c r="I27" s="58">
        <f t="shared" ref="I27:N27" si="16">SUM(I28:I31)</f>
        <v>12266327000</v>
      </c>
      <c r="J27" s="58">
        <f t="shared" si="16"/>
        <v>7755940667</v>
      </c>
      <c r="K27" s="58">
        <f t="shared" si="16"/>
        <v>3328651359.8000002</v>
      </c>
      <c r="L27" s="58">
        <f t="shared" si="16"/>
        <v>1257329015</v>
      </c>
      <c r="M27" s="58">
        <f t="shared" si="16"/>
        <v>1257329015</v>
      </c>
      <c r="N27" s="58">
        <f t="shared" si="16"/>
        <v>1181734973.1999998</v>
      </c>
      <c r="O27" s="57">
        <f t="shared" ref="O27:O32" si="17">+J27/I27</f>
        <v>0.63229528016006753</v>
      </c>
      <c r="P27" s="252">
        <f t="shared" si="5"/>
        <v>0.10250248627808471</v>
      </c>
      <c r="Q27" s="57">
        <f t="shared" si="6"/>
        <v>0.10250248627808471</v>
      </c>
      <c r="R27" s="16"/>
    </row>
    <row r="28" spans="1:19" ht="45.75" customHeight="1" x14ac:dyDescent="0.3">
      <c r="A28" s="8" t="s">
        <v>43</v>
      </c>
      <c r="B28" s="9" t="s">
        <v>25</v>
      </c>
      <c r="C28" s="9">
        <v>3</v>
      </c>
      <c r="D28" s="211" t="s">
        <v>260</v>
      </c>
      <c r="E28" s="43" t="s">
        <v>206</v>
      </c>
      <c r="F28" s="25" t="s">
        <v>83</v>
      </c>
      <c r="G28" s="25" t="s">
        <v>67</v>
      </c>
      <c r="H28" s="44" t="s">
        <v>200</v>
      </c>
      <c r="I28" s="21">
        <f>+'EJECUCION AGENCIA'!I103</f>
        <v>598579182</v>
      </c>
      <c r="J28" s="21">
        <f>+'EJECUCION AGENCIA'!J103</f>
        <v>504623300</v>
      </c>
      <c r="K28" s="21">
        <f>+'EJECUCION AGENCIA'!L103</f>
        <v>63955882</v>
      </c>
      <c r="L28" s="21">
        <f>+'EJECUCION AGENCIA'!N103</f>
        <v>120423340</v>
      </c>
      <c r="M28" s="21">
        <f>+'EJECUCION AGENCIA'!P103</f>
        <v>120423340</v>
      </c>
      <c r="N28" s="21">
        <f>+'EJECUCION AGENCIA'!M103</f>
        <v>30000000</v>
      </c>
      <c r="O28" s="45">
        <f t="shared" si="17"/>
        <v>0.84303516589723293</v>
      </c>
      <c r="P28" s="257">
        <f t="shared" si="5"/>
        <v>0.20118197161090043</v>
      </c>
      <c r="Q28" s="45">
        <f t="shared" si="6"/>
        <v>0.20118197161090043</v>
      </c>
      <c r="R28" s="16"/>
    </row>
    <row r="29" spans="1:19" ht="47.25" customHeight="1" x14ac:dyDescent="0.3">
      <c r="A29" s="8" t="s">
        <v>43</v>
      </c>
      <c r="B29" s="9" t="s">
        <v>25</v>
      </c>
      <c r="C29" s="9">
        <v>3</v>
      </c>
      <c r="D29" s="211" t="s">
        <v>260</v>
      </c>
      <c r="E29" s="43" t="s">
        <v>208</v>
      </c>
      <c r="F29" s="25" t="s">
        <v>83</v>
      </c>
      <c r="G29" s="25" t="s">
        <v>67</v>
      </c>
      <c r="H29" s="44" t="s">
        <v>200</v>
      </c>
      <c r="I29" s="21">
        <f>+'EJECUCION AGENCIA'!I106</f>
        <v>3114651360</v>
      </c>
      <c r="J29" s="21">
        <f>+'EJECUCION AGENCIA'!J106</f>
        <v>286000000</v>
      </c>
      <c r="K29" s="21">
        <f>+'EJECUCION AGENCIA'!L106</f>
        <v>2734695478</v>
      </c>
      <c r="L29" s="21">
        <f>+'EJECUCION AGENCIA'!N106</f>
        <v>93300000</v>
      </c>
      <c r="M29" s="21">
        <f>+'EJECUCION AGENCIA'!P106</f>
        <v>93300000</v>
      </c>
      <c r="N29" s="21">
        <f>+'EJECUCION AGENCIA'!M106</f>
        <v>93955882</v>
      </c>
      <c r="O29" s="45">
        <f t="shared" si="17"/>
        <v>9.1824081395742482E-2</v>
      </c>
      <c r="P29" s="257">
        <f t="shared" si="5"/>
        <v>2.9955198581198508E-2</v>
      </c>
      <c r="Q29" s="45">
        <f t="shared" si="6"/>
        <v>2.9955198581198508E-2</v>
      </c>
      <c r="R29" s="16"/>
    </row>
    <row r="30" spans="1:19" ht="42" customHeight="1" x14ac:dyDescent="0.3">
      <c r="A30" s="8" t="s">
        <v>43</v>
      </c>
      <c r="B30" s="9" t="s">
        <v>25</v>
      </c>
      <c r="C30" s="9">
        <v>3</v>
      </c>
      <c r="D30" s="211" t="s">
        <v>260</v>
      </c>
      <c r="E30" s="43" t="s">
        <v>209</v>
      </c>
      <c r="F30" s="25" t="s">
        <v>83</v>
      </c>
      <c r="G30" s="25" t="s">
        <v>83</v>
      </c>
      <c r="H30" s="44" t="s">
        <v>203</v>
      </c>
      <c r="I30" s="21">
        <f>+'EJECUCION AGENCIA'!I109</f>
        <v>7194997685</v>
      </c>
      <c r="J30" s="21">
        <f>+'EJECUCION AGENCIA'!J109</f>
        <v>5968997685</v>
      </c>
      <c r="K30" s="21">
        <f>+'EJECUCION AGENCIA'!L109</f>
        <v>410000000</v>
      </c>
      <c r="L30" s="21">
        <f>+'EJECUCION AGENCIA'!N109</f>
        <v>663499308</v>
      </c>
      <c r="M30" s="21">
        <f>+'EJECUCION AGENCIA'!P109</f>
        <v>663499308</v>
      </c>
      <c r="N30" s="21">
        <f>+'EJECUCION AGENCIA'!M109</f>
        <v>816000000</v>
      </c>
      <c r="O30" s="45">
        <f t="shared" si="17"/>
        <v>0.82960383676621019</v>
      </c>
      <c r="P30" s="257">
        <f t="shared" si="5"/>
        <v>9.2216750727140778E-2</v>
      </c>
      <c r="Q30" s="45">
        <f t="shared" si="6"/>
        <v>9.2216750727140778E-2</v>
      </c>
      <c r="R30" s="16"/>
    </row>
    <row r="31" spans="1:19" ht="42" customHeight="1" x14ac:dyDescent="0.3">
      <c r="A31" s="8" t="s">
        <v>43</v>
      </c>
      <c r="B31" s="9" t="s">
        <v>25</v>
      </c>
      <c r="C31" s="9">
        <v>3</v>
      </c>
      <c r="D31" s="211" t="s">
        <v>260</v>
      </c>
      <c r="E31" s="43" t="s">
        <v>209</v>
      </c>
      <c r="F31" s="25" t="s">
        <v>83</v>
      </c>
      <c r="G31" s="25">
        <v>3</v>
      </c>
      <c r="H31" s="293" t="s">
        <v>269</v>
      </c>
      <c r="I31" s="21">
        <f>+'EJECUCION AGENCIA'!I110</f>
        <v>1358098773</v>
      </c>
      <c r="J31" s="21">
        <f>+'EJECUCION AGENCIA'!J110</f>
        <v>996319682</v>
      </c>
      <c r="K31" s="21">
        <f>+'EJECUCION AGENCIA'!L110</f>
        <v>119999999.80000019</v>
      </c>
      <c r="L31" s="21">
        <f>+'EJECUCION AGENCIA'!N110</f>
        <v>380106367</v>
      </c>
      <c r="M31" s="21">
        <f>+'EJECUCION AGENCIA'!P110</f>
        <v>380106367</v>
      </c>
      <c r="N31" s="21">
        <f>+'EJECUCION AGENCIA'!M110</f>
        <v>241779091.19999981</v>
      </c>
      <c r="O31" s="45">
        <f t="shared" si="17"/>
        <v>0.73361356464460925</v>
      </c>
      <c r="P31" s="257">
        <f t="shared" si="5"/>
        <v>0.27988123879999999</v>
      </c>
      <c r="Q31" s="45">
        <f t="shared" si="6"/>
        <v>0.27988123879999999</v>
      </c>
      <c r="R31" s="16"/>
    </row>
    <row r="32" spans="1:19" ht="24.75" customHeight="1" x14ac:dyDescent="0.3">
      <c r="A32" s="383" t="s">
        <v>242</v>
      </c>
      <c r="B32" s="384"/>
      <c r="C32" s="384"/>
      <c r="D32" s="384"/>
      <c r="E32" s="384"/>
      <c r="F32" s="384"/>
      <c r="G32" s="384"/>
      <c r="H32" s="385"/>
      <c r="I32" s="41">
        <f t="shared" ref="I32:N32" si="18">I27</f>
        <v>12266327000</v>
      </c>
      <c r="J32" s="41">
        <f t="shared" si="18"/>
        <v>7755940667</v>
      </c>
      <c r="K32" s="41">
        <f t="shared" si="18"/>
        <v>3328651359.8000002</v>
      </c>
      <c r="L32" s="41">
        <f t="shared" si="18"/>
        <v>1257329015</v>
      </c>
      <c r="M32" s="41">
        <f t="shared" si="18"/>
        <v>1257329015</v>
      </c>
      <c r="N32" s="41">
        <f t="shared" si="18"/>
        <v>1181734973.1999998</v>
      </c>
      <c r="O32" s="42">
        <f t="shared" si="17"/>
        <v>0.63229528016006753</v>
      </c>
      <c r="P32" s="256">
        <f t="shared" si="5"/>
        <v>0.10250248627808471</v>
      </c>
      <c r="Q32" s="42">
        <f t="shared" si="6"/>
        <v>0.10250248627808471</v>
      </c>
    </row>
    <row r="33" spans="1:19" s="1" customFormat="1" ht="24" customHeight="1" thickBot="1" x14ac:dyDescent="0.35">
      <c r="A33" s="386" t="s">
        <v>16</v>
      </c>
      <c r="B33" s="387"/>
      <c r="C33" s="387"/>
      <c r="D33" s="387"/>
      <c r="E33" s="387"/>
      <c r="F33" s="387"/>
      <c r="G33" s="387"/>
      <c r="H33" s="388"/>
      <c r="I33" s="258">
        <f t="shared" ref="I33:N33" si="19">+I26+I32</f>
        <v>159351819999</v>
      </c>
      <c r="J33" s="258">
        <f t="shared" si="19"/>
        <v>69849664116.020004</v>
      </c>
      <c r="K33" s="258">
        <f t="shared" si="19"/>
        <v>68276071257.419998</v>
      </c>
      <c r="L33" s="258">
        <f t="shared" si="19"/>
        <v>34959379523.809998</v>
      </c>
      <c r="M33" s="258">
        <f t="shared" si="19"/>
        <v>34841571694.139999</v>
      </c>
      <c r="N33" s="258">
        <f t="shared" si="19"/>
        <v>7931584625.4800005</v>
      </c>
      <c r="O33" s="260">
        <f>+J33/I33</f>
        <v>0.43833615528494335</v>
      </c>
      <c r="P33" s="259">
        <f>+L33/I33</f>
        <v>0.21938487758739988</v>
      </c>
      <c r="Q33" s="260">
        <f>+M33/I33</f>
        <v>0.21864558367992687</v>
      </c>
      <c r="R33" s="100"/>
      <c r="S33" s="83"/>
    </row>
    <row r="34" spans="1:19" s="81" customFormat="1" ht="12" customHeight="1" x14ac:dyDescent="0.3">
      <c r="A34" s="76"/>
      <c r="B34" s="76"/>
      <c r="C34" s="76"/>
      <c r="D34" s="76"/>
      <c r="E34" s="76"/>
      <c r="F34" s="76"/>
      <c r="G34" s="76"/>
      <c r="H34" s="76"/>
      <c r="I34" s="77"/>
      <c r="J34" s="77"/>
      <c r="K34" s="78"/>
      <c r="L34" s="77"/>
      <c r="M34" s="79"/>
      <c r="N34" s="79"/>
      <c r="O34" s="80"/>
      <c r="P34" s="80"/>
      <c r="Q34" s="80"/>
      <c r="S34" s="82"/>
    </row>
    <row r="35" spans="1:19" ht="12" customHeight="1" x14ac:dyDescent="0.3">
      <c r="A35" s="380" t="str">
        <f>+'EJECUCION AGENCIA'!A124</f>
        <v>Fuente: SIIF-NACIÓN</v>
      </c>
      <c r="B35" s="380"/>
      <c r="C35" s="380"/>
      <c r="D35" s="380"/>
      <c r="E35" s="380"/>
      <c r="F35" s="380"/>
      <c r="G35" s="380"/>
      <c r="H35" s="380"/>
      <c r="K35" s="32"/>
      <c r="L35" s="32"/>
      <c r="M35" s="32"/>
      <c r="N35" s="32"/>
      <c r="O35" s="50"/>
    </row>
    <row r="36" spans="1:19" ht="12" customHeight="1" x14ac:dyDescent="0.3">
      <c r="A36" s="380"/>
      <c r="B36" s="380"/>
      <c r="C36" s="380"/>
      <c r="D36" s="380"/>
      <c r="E36" s="380"/>
      <c r="F36" s="380"/>
      <c r="G36" s="380"/>
      <c r="H36" s="380"/>
      <c r="K36" s="381"/>
      <c r="L36" s="381"/>
      <c r="M36" s="381"/>
      <c r="N36" s="10"/>
      <c r="O36" s="50"/>
    </row>
    <row r="37" spans="1:19" ht="12" customHeight="1" x14ac:dyDescent="0.3">
      <c r="A37" s="103"/>
      <c r="B37" s="103"/>
      <c r="C37" s="103"/>
      <c r="D37" s="103"/>
      <c r="E37" s="103"/>
      <c r="F37" s="103"/>
      <c r="G37" s="103"/>
      <c r="H37" s="103"/>
      <c r="K37" s="381"/>
      <c r="L37" s="381"/>
      <c r="M37" s="381"/>
      <c r="N37" s="10"/>
      <c r="O37" s="50"/>
    </row>
    <row r="38" spans="1:19" ht="12" customHeight="1" x14ac:dyDescent="0.3">
      <c r="A38" s="103"/>
      <c r="B38" s="103"/>
      <c r="C38" s="103"/>
      <c r="D38" s="103"/>
      <c r="E38" s="103"/>
      <c r="F38" s="103"/>
      <c r="G38" s="103"/>
      <c r="H38" s="103"/>
      <c r="K38" s="381"/>
      <c r="L38" s="381"/>
      <c r="M38" s="381"/>
      <c r="N38" s="10"/>
      <c r="O38" s="50"/>
    </row>
    <row r="39" spans="1:19" ht="12" customHeight="1" x14ac:dyDescent="0.3">
      <c r="H39" s="46" t="s">
        <v>41</v>
      </c>
      <c r="K39" s="381"/>
      <c r="L39" s="381"/>
      <c r="M39" s="381"/>
      <c r="N39" s="16"/>
    </row>
    <row r="40" spans="1:19" ht="12" customHeight="1" x14ac:dyDescent="0.3">
      <c r="H40" s="46"/>
      <c r="K40" s="104"/>
      <c r="L40" s="104"/>
      <c r="M40" s="104"/>
      <c r="N40" s="16"/>
    </row>
    <row r="41" spans="1:19" ht="12" customHeight="1" x14ac:dyDescent="0.3">
      <c r="A41" s="12"/>
      <c r="B41" s="47"/>
      <c r="J41" s="49"/>
      <c r="P41" s="11"/>
      <c r="Q41" s="50"/>
    </row>
    <row r="42" spans="1:19" s="3" customFormat="1" ht="26.25" customHeight="1" x14ac:dyDescent="0.3">
      <c r="A42" s="382" t="s">
        <v>303</v>
      </c>
      <c r="B42" s="382"/>
      <c r="C42" s="382"/>
      <c r="D42" s="382"/>
      <c r="E42" s="382"/>
      <c r="F42" s="382"/>
      <c r="G42" s="382"/>
      <c r="H42" s="382"/>
      <c r="I42" s="382"/>
      <c r="J42" s="382"/>
      <c r="K42" s="382"/>
      <c r="L42" s="382"/>
      <c r="M42" s="382"/>
      <c r="N42" s="382"/>
      <c r="O42" s="382"/>
      <c r="P42" s="2"/>
      <c r="Q42" s="4"/>
      <c r="R42" s="2"/>
      <c r="S42" s="84"/>
    </row>
    <row r="43" spans="1:19" s="3" customFormat="1" ht="21.75" customHeight="1" x14ac:dyDescent="0.3">
      <c r="A43" s="382" t="s">
        <v>304</v>
      </c>
      <c r="B43" s="382"/>
      <c r="C43" s="382"/>
      <c r="D43" s="382"/>
      <c r="E43" s="382"/>
      <c r="F43" s="382"/>
      <c r="G43" s="382"/>
      <c r="H43" s="382"/>
      <c r="I43" s="382"/>
      <c r="J43" s="382"/>
      <c r="K43" s="382"/>
      <c r="L43" s="382"/>
      <c r="M43" s="382"/>
      <c r="N43" s="382"/>
      <c r="O43" s="382"/>
      <c r="P43" s="2"/>
      <c r="Q43" s="2"/>
      <c r="R43" s="2"/>
      <c r="S43" s="84"/>
    </row>
    <row r="44" spans="1:19" ht="12" customHeight="1" x14ac:dyDescent="0.3">
      <c r="L44" s="51"/>
      <c r="M44" s="51"/>
    </row>
    <row r="45" spans="1:19" ht="12" customHeight="1" x14ac:dyDescent="0.3">
      <c r="K45" s="30"/>
      <c r="O45" s="50"/>
    </row>
    <row r="46" spans="1:19" ht="12" customHeight="1" x14ac:dyDescent="0.3">
      <c r="K46" s="30"/>
      <c r="N46" s="16"/>
      <c r="S46" s="14"/>
    </row>
    <row r="47" spans="1:19" ht="12" customHeight="1" x14ac:dyDescent="0.3">
      <c r="C47" s="379"/>
      <c r="D47" s="379"/>
      <c r="E47" s="379"/>
      <c r="F47" s="379"/>
      <c r="G47" s="379"/>
      <c r="H47" s="19"/>
      <c r="K47" s="16"/>
      <c r="N47" s="16"/>
      <c r="S47" s="14"/>
    </row>
    <row r="48" spans="1:19" ht="12" customHeight="1" x14ac:dyDescent="0.3">
      <c r="N48" s="14"/>
      <c r="P48" s="15"/>
      <c r="Q48" s="15"/>
      <c r="R48" s="15"/>
      <c r="S48" s="14"/>
    </row>
    <row r="49" spans="8:19" ht="12" customHeight="1" x14ac:dyDescent="0.3">
      <c r="H49" s="30"/>
      <c r="I49" s="52"/>
      <c r="N49" s="14"/>
      <c r="P49" s="15"/>
      <c r="Q49" s="15"/>
      <c r="R49" s="15"/>
      <c r="S49" s="14"/>
    </row>
    <row r="50" spans="8:19" ht="12" customHeight="1" x14ac:dyDescent="0.3">
      <c r="H50" s="30"/>
      <c r="M50" s="53"/>
      <c r="N50" s="14"/>
      <c r="P50" s="15"/>
      <c r="Q50" s="15"/>
      <c r="R50" s="15"/>
      <c r="S50" s="14"/>
    </row>
    <row r="51" spans="8:19" ht="12" customHeight="1" x14ac:dyDescent="0.3">
      <c r="H51" s="30"/>
      <c r="M51" s="53"/>
      <c r="N51" s="14"/>
      <c r="P51" s="15"/>
      <c r="Q51" s="15"/>
      <c r="R51" s="15"/>
      <c r="S51" s="14"/>
    </row>
    <row r="52" spans="8:19" ht="12" customHeight="1" x14ac:dyDescent="0.3">
      <c r="H52" s="30"/>
      <c r="N52" s="14"/>
      <c r="P52" s="15"/>
      <c r="Q52" s="15"/>
      <c r="R52" s="15"/>
      <c r="S52" s="14"/>
    </row>
    <row r="53" spans="8:19" ht="12" customHeight="1" x14ac:dyDescent="0.3">
      <c r="H53" s="30"/>
      <c r="M53" s="53"/>
      <c r="N53" s="14"/>
      <c r="P53" s="15"/>
      <c r="Q53" s="15"/>
      <c r="R53" s="15"/>
      <c r="S53" s="14"/>
    </row>
    <row r="54" spans="8:19" ht="12" customHeight="1" x14ac:dyDescent="0.3">
      <c r="H54" s="54"/>
      <c r="N54" s="14"/>
      <c r="P54" s="15"/>
      <c r="Q54" s="15"/>
      <c r="R54" s="15"/>
      <c r="S54" s="14"/>
    </row>
    <row r="55" spans="8:19" ht="12" customHeight="1" x14ac:dyDescent="0.3">
      <c r="H55" s="30"/>
      <c r="N55" s="14"/>
      <c r="P55" s="15"/>
      <c r="Q55" s="15"/>
      <c r="R55" s="15"/>
      <c r="S55" s="14"/>
    </row>
    <row r="56" spans="8:19" ht="12" customHeight="1" x14ac:dyDescent="0.3">
      <c r="H56" s="30"/>
      <c r="K56" s="16"/>
      <c r="N56" s="14"/>
      <c r="P56" s="15"/>
      <c r="Q56" s="15"/>
      <c r="R56" s="15"/>
      <c r="S56" s="14"/>
    </row>
    <row r="57" spans="8:19" ht="12" customHeight="1" x14ac:dyDescent="0.3">
      <c r="H57" s="16"/>
      <c r="K57" s="16"/>
      <c r="N57" s="14"/>
      <c r="P57" s="15"/>
      <c r="Q57" s="15"/>
      <c r="R57" s="15"/>
      <c r="S57" s="14"/>
    </row>
    <row r="58" spans="8:19" ht="12" customHeight="1" x14ac:dyDescent="0.3">
      <c r="H58" s="30"/>
      <c r="N58" s="14"/>
      <c r="P58" s="15"/>
      <c r="Q58" s="15"/>
      <c r="R58" s="15"/>
      <c r="S58" s="14"/>
    </row>
    <row r="59" spans="8:19" ht="12" customHeight="1" x14ac:dyDescent="0.3">
      <c r="H59" s="55"/>
      <c r="N59" s="14"/>
      <c r="P59" s="15"/>
      <c r="Q59" s="15"/>
      <c r="R59" s="15"/>
    </row>
    <row r="60" spans="8:19" ht="12" customHeight="1" x14ac:dyDescent="0.3">
      <c r="N60" s="14"/>
      <c r="P60" s="15"/>
      <c r="Q60" s="15"/>
      <c r="R60" s="15"/>
    </row>
    <row r="61" spans="8:19" ht="12" customHeight="1" x14ac:dyDescent="0.3">
      <c r="H61" s="30"/>
    </row>
    <row r="62" spans="8:19" ht="12" customHeight="1" x14ac:dyDescent="0.3">
      <c r="H62" s="55"/>
      <c r="J62" s="49"/>
    </row>
    <row r="63" spans="8:19" ht="12" customHeight="1" x14ac:dyDescent="0.3">
      <c r="H63" s="56"/>
    </row>
    <row r="65" spans="8:15" ht="12" customHeight="1" x14ac:dyDescent="0.3">
      <c r="N65" s="16"/>
      <c r="O65" s="86"/>
    </row>
    <row r="66" spans="8:15" ht="12" customHeight="1" x14ac:dyDescent="0.3">
      <c r="H66" s="56"/>
      <c r="N66" s="16"/>
      <c r="O66" s="86"/>
    </row>
    <row r="67" spans="8:15" ht="12" customHeight="1" x14ac:dyDescent="0.3">
      <c r="H67" s="56"/>
      <c r="N67" s="16"/>
      <c r="O67" s="86"/>
    </row>
    <row r="68" spans="8:15" ht="12" customHeight="1" x14ac:dyDescent="0.3">
      <c r="H68" s="56"/>
      <c r="N68" s="16"/>
      <c r="O68" s="86"/>
    </row>
    <row r="69" spans="8:15" ht="12" customHeight="1" x14ac:dyDescent="0.3">
      <c r="H69" s="56"/>
      <c r="N69" s="16"/>
      <c r="O69" s="86"/>
    </row>
    <row r="70" spans="8:15" ht="12" customHeight="1" x14ac:dyDescent="0.3">
      <c r="N70" s="16"/>
      <c r="O70" s="86"/>
    </row>
    <row r="71" spans="8:15" ht="12" customHeight="1" x14ac:dyDescent="0.3">
      <c r="N71" s="16"/>
      <c r="O71" s="86"/>
    </row>
    <row r="72" spans="8:15" ht="12" customHeight="1" x14ac:dyDescent="0.3">
      <c r="N72" s="16"/>
      <c r="O72" s="86"/>
    </row>
    <row r="73" spans="8:15" ht="12" customHeight="1" x14ac:dyDescent="0.3">
      <c r="N73" s="16"/>
      <c r="O73" s="86"/>
    </row>
    <row r="74" spans="8:15" ht="12" customHeight="1" x14ac:dyDescent="0.3">
      <c r="N74" s="16"/>
      <c r="O74" s="86"/>
    </row>
    <row r="75" spans="8:15" ht="12" customHeight="1" x14ac:dyDescent="0.3">
      <c r="N75" s="16"/>
      <c r="O75" s="86"/>
    </row>
    <row r="76" spans="8:15" ht="12" customHeight="1" x14ac:dyDescent="0.3">
      <c r="N76" s="16"/>
      <c r="O76" s="86"/>
    </row>
    <row r="77" spans="8:15" ht="12" customHeight="1" x14ac:dyDescent="0.3">
      <c r="N77" s="16"/>
      <c r="O77" s="86"/>
    </row>
    <row r="78" spans="8:15" ht="12" customHeight="1" x14ac:dyDescent="0.3">
      <c r="N78" s="16"/>
      <c r="O78" s="86"/>
    </row>
    <row r="162" spans="4:4" ht="12" customHeight="1" x14ac:dyDescent="0.3">
      <c r="D162" s="14">
        <f>SUM(B160:B162)</f>
        <v>0</v>
      </c>
    </row>
  </sheetData>
  <mergeCells count="33">
    <mergeCell ref="A2:O2"/>
    <mergeCell ref="A3:O3"/>
    <mergeCell ref="A6:O7"/>
    <mergeCell ref="C47:G47"/>
    <mergeCell ref="A36:H36"/>
    <mergeCell ref="K36:K39"/>
    <mergeCell ref="L36:L39"/>
    <mergeCell ref="M36:M39"/>
    <mergeCell ref="A42:O42"/>
    <mergeCell ref="A43:O43"/>
    <mergeCell ref="A35:H35"/>
    <mergeCell ref="A26:H26"/>
    <mergeCell ref="A32:H32"/>
    <mergeCell ref="A33:H33"/>
    <mergeCell ref="A8:A9"/>
    <mergeCell ref="B8:B9"/>
    <mergeCell ref="P8:P9"/>
    <mergeCell ref="Q8:Q9"/>
    <mergeCell ref="H8:H9"/>
    <mergeCell ref="I8:I9"/>
    <mergeCell ref="N8:N9"/>
    <mergeCell ref="O8:O9"/>
    <mergeCell ref="M8:M9"/>
    <mergeCell ref="J8:J9"/>
    <mergeCell ref="K8:K9"/>
    <mergeCell ref="L8:L9"/>
    <mergeCell ref="D27:G27"/>
    <mergeCell ref="C8:C9"/>
    <mergeCell ref="D8:D9"/>
    <mergeCell ref="E8:E9"/>
    <mergeCell ref="A24:G24"/>
    <mergeCell ref="F8:F9"/>
    <mergeCell ref="G8:G9"/>
  </mergeCells>
  <printOptions horizontalCentered="1"/>
  <pageMargins left="0.19685039370078741" right="0.19685039370078741" top="0.51181102362204722" bottom="0.35433070866141736" header="0.70866141732283472" footer="0.47244094488188981"/>
  <pageSetup scale="50" orientation="landscape" r:id="rId1"/>
  <ignoredErrors>
    <ignoredError sqref="A17:B17 A11:G13 A25:G25 A27:D27 A15 A19:G19 A18 A24 G21:G22 A21:E22 A23:D23 A30:C30 A28:C28 F28:G28 A29:C29 F29:G29 E28:E29 A20:C20 E30:G30 D17:G17" numberStoredAsText="1"/>
    <ignoredError sqref="O3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  <pageSetUpPr fitToPage="1"/>
  </sheetPr>
  <dimension ref="B1:L20"/>
  <sheetViews>
    <sheetView showGridLines="0" tabSelected="1" zoomScale="90" zoomScaleNormal="90" workbookViewId="0">
      <selection activeCell="C5" sqref="C5"/>
    </sheetView>
  </sheetViews>
  <sheetFormatPr baseColWidth="10" defaultColWidth="11.44140625" defaultRowHeight="13.8" x14ac:dyDescent="0.3"/>
  <cols>
    <col min="1" max="1" width="4.6640625" style="87" customWidth="1"/>
    <col min="2" max="2" width="38.44140625" style="87" customWidth="1"/>
    <col min="3" max="3" width="19.33203125" style="87" customWidth="1"/>
    <col min="4" max="4" width="19.88671875" style="87" customWidth="1"/>
    <col min="5" max="5" width="20" style="87" customWidth="1"/>
    <col min="6" max="6" width="21" style="87" customWidth="1"/>
    <col min="7" max="7" width="19.33203125" style="87" customWidth="1"/>
    <col min="8" max="8" width="18" style="87" customWidth="1"/>
    <col min="9" max="10" width="15.5546875" style="87" customWidth="1"/>
    <col min="11" max="11" width="14.88671875" style="87" customWidth="1"/>
    <col min="12" max="16384" width="11.44140625" style="87"/>
  </cols>
  <sheetData>
    <row r="1" spans="2:12" ht="14.4" thickBot="1" x14ac:dyDescent="0.35"/>
    <row r="2" spans="2:12" ht="31.5" customHeight="1" thickBot="1" x14ac:dyDescent="0.35">
      <c r="B2" s="101" t="s">
        <v>15</v>
      </c>
      <c r="C2" s="98" t="s">
        <v>222</v>
      </c>
      <c r="D2" s="98" t="s">
        <v>19</v>
      </c>
      <c r="E2" s="98" t="s">
        <v>18</v>
      </c>
      <c r="F2" s="98" t="s">
        <v>20</v>
      </c>
      <c r="G2" s="98" t="s">
        <v>21</v>
      </c>
      <c r="H2" s="98" t="s">
        <v>225</v>
      </c>
      <c r="I2" s="285" t="s">
        <v>271</v>
      </c>
      <c r="J2" s="285" t="s">
        <v>272</v>
      </c>
    </row>
    <row r="3" spans="2:12" ht="23.25" customHeight="1" thickBot="1" x14ac:dyDescent="0.35">
      <c r="B3" s="88" t="s">
        <v>4</v>
      </c>
      <c r="C3" s="89">
        <f>+'SEG.PTAL-DR '!I10</f>
        <v>66681300000</v>
      </c>
      <c r="D3" s="89">
        <f>+'SEG.PTAL-DR '!J10</f>
        <v>18436266437.650002</v>
      </c>
      <c r="E3" s="89">
        <f>+'SEG.PTAL-DR '!K10</f>
        <v>39950533562.349998</v>
      </c>
      <c r="F3" s="89">
        <f>+'SEG.PTAL-DR '!L10</f>
        <v>18430114730.650002</v>
      </c>
      <c r="G3" s="89">
        <f>+'SEG.PTAL-DR '!M10</f>
        <v>18386308754.650002</v>
      </c>
      <c r="H3" s="89">
        <f>+'SEG.PTAL-DR '!N10</f>
        <v>0</v>
      </c>
      <c r="I3" s="90">
        <f t="shared" ref="I3:I10" si="0">+D3/C3</f>
        <v>0.27648330847853897</v>
      </c>
      <c r="J3" s="90">
        <f t="shared" ref="J3:J10" si="1">+F3/C3</f>
        <v>0.27639105312358941</v>
      </c>
    </row>
    <row r="4" spans="2:12" ht="23.25" customHeight="1" thickBot="1" x14ac:dyDescent="0.35">
      <c r="B4" s="88" t="s">
        <v>124</v>
      </c>
      <c r="C4" s="89">
        <f>+'SEG.PTAL-DR '!I15</f>
        <v>18832000000</v>
      </c>
      <c r="D4" s="89">
        <f>+'SEG.PTAL-DR '!J15</f>
        <v>14739962062.220001</v>
      </c>
      <c r="E4" s="89">
        <f>+'SEG.PTAL-DR '!K15</f>
        <v>3530555903.2700005</v>
      </c>
      <c r="F4" s="89">
        <f>+'SEG.PTAL-DR '!L15</f>
        <v>5251221813.8499994</v>
      </c>
      <c r="G4" s="89">
        <f>+'SEG.PTAL-DR '!M15</f>
        <v>5205692781.8499994</v>
      </c>
      <c r="H4" s="89">
        <f>+'SEG.PTAL-DR '!N15</f>
        <v>561482034.50999999</v>
      </c>
      <c r="I4" s="90">
        <f t="shared" si="0"/>
        <v>0.78270826583581143</v>
      </c>
      <c r="J4" s="90">
        <f t="shared" si="1"/>
        <v>0.27884567830554374</v>
      </c>
    </row>
    <row r="5" spans="2:12" ht="23.25" customHeight="1" thickBot="1" x14ac:dyDescent="0.35">
      <c r="B5" s="88" t="s">
        <v>26</v>
      </c>
      <c r="C5" s="89">
        <f>+'SEG.PTAL-DR '!I18</f>
        <v>61273092999</v>
      </c>
      <c r="D5" s="89">
        <f>+'SEG.PTAL-DR '!J18</f>
        <v>28917494949.150002</v>
      </c>
      <c r="E5" s="89">
        <f>+'SEG.PTAL-DR '!K18</f>
        <v>21466330432</v>
      </c>
      <c r="F5" s="89">
        <f>+'SEG.PTAL-DR '!L18</f>
        <v>10020713964.310001</v>
      </c>
      <c r="G5" s="89">
        <f>+'SEG.PTAL-DR '!M18</f>
        <v>9992241142.6399994</v>
      </c>
      <c r="H5" s="89">
        <f>+'SEG.PTAL-DR '!N18</f>
        <v>5889267617.7700005</v>
      </c>
      <c r="I5" s="90">
        <f t="shared" si="0"/>
        <v>0.47194442999020708</v>
      </c>
      <c r="J5" s="90">
        <f t="shared" si="1"/>
        <v>0.16354183335372907</v>
      </c>
    </row>
    <row r="6" spans="2:12" ht="23.25" customHeight="1" thickBot="1" x14ac:dyDescent="0.35">
      <c r="B6" s="88" t="s">
        <v>113</v>
      </c>
      <c r="C6" s="89">
        <f>+'SEG.PTAL-DR '!I24</f>
        <v>299100000</v>
      </c>
      <c r="D6" s="89">
        <f>+'SEG.PTAL-DR '!J24</f>
        <v>0</v>
      </c>
      <c r="E6" s="89">
        <f>+'SEG.PTAL-DR '!K24</f>
        <v>0</v>
      </c>
      <c r="F6" s="89">
        <f>+'SEG.PTAL-DR '!L24</f>
        <v>0</v>
      </c>
      <c r="G6" s="89">
        <f>+'SEG.PTAL-DR '!M24</f>
        <v>0</v>
      </c>
      <c r="H6" s="89">
        <f>+'SEG.PTAL-DR '!N24</f>
        <v>299100000</v>
      </c>
      <c r="I6" s="90">
        <f t="shared" si="0"/>
        <v>0</v>
      </c>
      <c r="J6" s="90">
        <f t="shared" si="1"/>
        <v>0</v>
      </c>
    </row>
    <row r="7" spans="2:12" ht="20.25" customHeight="1" thickBot="1" x14ac:dyDescent="0.35">
      <c r="B7" s="94" t="s">
        <v>11</v>
      </c>
      <c r="C7" s="95">
        <f>SUM(C3:C6)</f>
        <v>147085492999</v>
      </c>
      <c r="D7" s="95">
        <f t="shared" ref="D7:H7" si="2">SUM(D3:D6)</f>
        <v>62093723449.020004</v>
      </c>
      <c r="E7" s="95">
        <f t="shared" si="2"/>
        <v>64947419897.619995</v>
      </c>
      <c r="F7" s="95">
        <f t="shared" si="2"/>
        <v>33702050508.810001</v>
      </c>
      <c r="G7" s="95">
        <f t="shared" si="2"/>
        <v>33584242679.139999</v>
      </c>
      <c r="H7" s="95">
        <f t="shared" si="2"/>
        <v>6749849652.2800007</v>
      </c>
      <c r="I7" s="96">
        <f t="shared" si="0"/>
        <v>0.42216075958926941</v>
      </c>
      <c r="J7" s="96">
        <f t="shared" si="1"/>
        <v>0.22913238975266673</v>
      </c>
      <c r="L7" s="91"/>
    </row>
    <row r="8" spans="2:12" ht="39" customHeight="1" thickBot="1" x14ac:dyDescent="0.35">
      <c r="B8" s="92" t="str">
        <f>+'SEG.PTAL-DR '!H27</f>
        <v>IMPLEMENTACION DEL PROGRAMA DE FORTALECIMIENTO DE LA AGENCIA DE DEFENSA JURIDICA A NIVEL NACIONAL</v>
      </c>
      <c r="C8" s="89">
        <f>+'SEG.PTAL-DR '!I27</f>
        <v>12266327000</v>
      </c>
      <c r="D8" s="89">
        <f>+'SEG.PTAL-DR '!J27</f>
        <v>7755940667</v>
      </c>
      <c r="E8" s="89">
        <f>+'SEG.PTAL-DR '!K27</f>
        <v>3328651359.8000002</v>
      </c>
      <c r="F8" s="89">
        <f>+'SEG.PTAL-DR '!L27</f>
        <v>1257329015</v>
      </c>
      <c r="G8" s="89">
        <f>+'SEG.PTAL-DR '!M27</f>
        <v>1257329015</v>
      </c>
      <c r="H8" s="89">
        <f>+'SEG.PTAL-DR '!N27</f>
        <v>1181734973.1999998</v>
      </c>
      <c r="I8" s="90">
        <f t="shared" si="0"/>
        <v>0.63229528016006753</v>
      </c>
      <c r="J8" s="90">
        <f t="shared" si="1"/>
        <v>0.10250248627808471</v>
      </c>
    </row>
    <row r="9" spans="2:12" ht="18" customHeight="1" thickBot="1" x14ac:dyDescent="0.35">
      <c r="B9" s="94" t="s">
        <v>224</v>
      </c>
      <c r="C9" s="95">
        <f t="shared" ref="C9:H9" si="3">+C8</f>
        <v>12266327000</v>
      </c>
      <c r="D9" s="95">
        <f t="shared" si="3"/>
        <v>7755940667</v>
      </c>
      <c r="E9" s="95">
        <f t="shared" si="3"/>
        <v>3328651359.8000002</v>
      </c>
      <c r="F9" s="95">
        <f t="shared" si="3"/>
        <v>1257329015</v>
      </c>
      <c r="G9" s="95">
        <f t="shared" si="3"/>
        <v>1257329015</v>
      </c>
      <c r="H9" s="95">
        <f t="shared" si="3"/>
        <v>1181734973.1999998</v>
      </c>
      <c r="I9" s="96">
        <f t="shared" si="0"/>
        <v>0.63229528016006753</v>
      </c>
      <c r="J9" s="96">
        <f t="shared" si="1"/>
        <v>0.10250248627808471</v>
      </c>
    </row>
    <row r="10" spans="2:12" ht="27" customHeight="1" thickBot="1" x14ac:dyDescent="0.35">
      <c r="B10" s="97" t="s">
        <v>16</v>
      </c>
      <c r="C10" s="98">
        <f>+C7+C9</f>
        <v>159351819999</v>
      </c>
      <c r="D10" s="98">
        <f>+D7+D9</f>
        <v>69849664116.020004</v>
      </c>
      <c r="E10" s="98">
        <f t="shared" ref="E10:G10" si="4">+E7+E9</f>
        <v>68276071257.419998</v>
      </c>
      <c r="F10" s="98">
        <f t="shared" si="4"/>
        <v>34959379523.809998</v>
      </c>
      <c r="G10" s="98">
        <f t="shared" si="4"/>
        <v>34841571694.139999</v>
      </c>
      <c r="H10" s="98">
        <f>+H7+H9</f>
        <v>7931584625.4800005</v>
      </c>
      <c r="I10" s="99">
        <f t="shared" si="0"/>
        <v>0.43833615528494335</v>
      </c>
      <c r="J10" s="284">
        <f t="shared" si="1"/>
        <v>0.21938487758739988</v>
      </c>
    </row>
    <row r="11" spans="2:12" x14ac:dyDescent="0.3">
      <c r="C11" s="105"/>
    </row>
    <row r="12" spans="2:12" x14ac:dyDescent="0.3">
      <c r="D12" s="87" t="s">
        <v>24</v>
      </c>
    </row>
    <row r="13" spans="2:12" x14ac:dyDescent="0.3">
      <c r="C13" s="105"/>
      <c r="D13" s="265"/>
    </row>
    <row r="14" spans="2:12" x14ac:dyDescent="0.3">
      <c r="D14" s="265"/>
    </row>
    <row r="15" spans="2:12" x14ac:dyDescent="0.3">
      <c r="D15" s="265"/>
    </row>
    <row r="16" spans="2:12" x14ac:dyDescent="0.3">
      <c r="D16" s="266"/>
    </row>
    <row r="18" spans="4:4" x14ac:dyDescent="0.3">
      <c r="D18" s="267"/>
    </row>
    <row r="20" spans="4:4" x14ac:dyDescent="0.3">
      <c r="D20" s="105"/>
    </row>
  </sheetData>
  <pageMargins left="0.7" right="0.7" top="0.75" bottom="0.75" header="0.3" footer="0.3"/>
  <pageSetup scale="70" orientation="landscape" r:id="rId1"/>
  <ignoredErrors>
    <ignoredError sqref="D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A1080-1959-41AE-B690-0D290CE6E1F1}">
  <dimension ref="A1:AC18"/>
  <sheetViews>
    <sheetView showGridLines="0" zoomScaleNormal="100" workbookViewId="0">
      <pane xSplit="3" ySplit="4" topLeftCell="U5" activePane="bottomRight" state="frozen"/>
      <selection pane="topRight" activeCell="D1" sqref="D1"/>
      <selection pane="bottomLeft" activeCell="A5" sqref="A5"/>
      <selection pane="bottomRight" activeCell="W31" sqref="W31"/>
    </sheetView>
  </sheetViews>
  <sheetFormatPr baseColWidth="10" defaultRowHeight="14.4" x14ac:dyDescent="0.3"/>
  <cols>
    <col min="1" max="1" width="13.44140625" style="295" customWidth="1"/>
    <col min="2" max="2" width="26.88671875" style="295" customWidth="1"/>
    <col min="3" max="3" width="21.5546875" style="295" customWidth="1"/>
    <col min="4" max="11" width="5.44140625" style="295" customWidth="1"/>
    <col min="12" max="12" width="7" style="295" customWidth="1"/>
    <col min="13" max="13" width="9.6640625" style="295" customWidth="1"/>
    <col min="14" max="14" width="8.109375" style="295" customWidth="1"/>
    <col min="15" max="15" width="9.6640625" style="295" customWidth="1"/>
    <col min="16" max="16" width="27.6640625" style="295" customWidth="1"/>
    <col min="17" max="27" width="18.88671875" style="295" customWidth="1"/>
    <col min="28" max="28" width="0" style="295" hidden="1" customWidth="1"/>
    <col min="29" max="29" width="17.6640625" style="295" bestFit="1" customWidth="1"/>
    <col min="30" max="16384" width="11.5546875" style="295"/>
  </cols>
  <sheetData>
    <row r="1" spans="1:29" x14ac:dyDescent="0.3">
      <c r="A1" s="296" t="s">
        <v>32</v>
      </c>
      <c r="B1" s="296">
        <v>2025</v>
      </c>
      <c r="C1" s="297" t="s">
        <v>33</v>
      </c>
      <c r="D1" s="297" t="s">
        <v>33</v>
      </c>
      <c r="E1" s="297" t="s">
        <v>33</v>
      </c>
      <c r="F1" s="297" t="s">
        <v>33</v>
      </c>
      <c r="G1" s="297" t="s">
        <v>33</v>
      </c>
      <c r="H1" s="297" t="s">
        <v>33</v>
      </c>
      <c r="I1" s="297" t="s">
        <v>33</v>
      </c>
      <c r="J1" s="297" t="s">
        <v>33</v>
      </c>
      <c r="K1" s="297" t="s">
        <v>33</v>
      </c>
      <c r="L1" s="297" t="s">
        <v>33</v>
      </c>
      <c r="M1" s="297" t="s">
        <v>33</v>
      </c>
      <c r="N1" s="297" t="s">
        <v>33</v>
      </c>
      <c r="O1" s="297" t="s">
        <v>33</v>
      </c>
      <c r="P1" s="297" t="s">
        <v>33</v>
      </c>
      <c r="Q1" s="297" t="s">
        <v>33</v>
      </c>
      <c r="R1" s="297" t="s">
        <v>33</v>
      </c>
      <c r="S1" s="297" t="s">
        <v>33</v>
      </c>
      <c r="T1" s="297" t="s">
        <v>33</v>
      </c>
      <c r="U1" s="297" t="s">
        <v>33</v>
      </c>
      <c r="V1" s="297" t="s">
        <v>33</v>
      </c>
      <c r="W1" s="297" t="s">
        <v>33</v>
      </c>
      <c r="X1" s="297" t="s">
        <v>33</v>
      </c>
      <c r="Y1" s="297" t="s">
        <v>33</v>
      </c>
      <c r="Z1" s="297" t="s">
        <v>33</v>
      </c>
      <c r="AA1" s="297" t="s">
        <v>33</v>
      </c>
    </row>
    <row r="2" spans="1:29" x14ac:dyDescent="0.3">
      <c r="A2" s="296" t="s">
        <v>34</v>
      </c>
      <c r="B2" s="296" t="s">
        <v>35</v>
      </c>
      <c r="C2" s="297" t="s">
        <v>33</v>
      </c>
      <c r="D2" s="297" t="s">
        <v>33</v>
      </c>
      <c r="E2" s="297" t="s">
        <v>33</v>
      </c>
      <c r="F2" s="297" t="s">
        <v>33</v>
      </c>
      <c r="G2" s="297" t="s">
        <v>33</v>
      </c>
      <c r="H2" s="297" t="s">
        <v>33</v>
      </c>
      <c r="I2" s="297" t="s">
        <v>33</v>
      </c>
      <c r="J2" s="297" t="s">
        <v>33</v>
      </c>
      <c r="K2" s="297" t="s">
        <v>33</v>
      </c>
      <c r="L2" s="297" t="s">
        <v>33</v>
      </c>
      <c r="M2" s="297" t="s">
        <v>33</v>
      </c>
      <c r="N2" s="297" t="s">
        <v>33</v>
      </c>
      <c r="O2" s="297" t="s">
        <v>33</v>
      </c>
      <c r="P2" s="297" t="s">
        <v>33</v>
      </c>
      <c r="Q2" s="297" t="s">
        <v>33</v>
      </c>
      <c r="R2" s="297" t="s">
        <v>33</v>
      </c>
      <c r="S2" s="297" t="s">
        <v>33</v>
      </c>
      <c r="T2" s="297" t="s">
        <v>33</v>
      </c>
      <c r="U2" s="297" t="s">
        <v>33</v>
      </c>
      <c r="V2" s="297" t="s">
        <v>33</v>
      </c>
      <c r="W2" s="297" t="s">
        <v>33</v>
      </c>
      <c r="X2" s="297" t="s">
        <v>33</v>
      </c>
      <c r="Y2" s="297" t="s">
        <v>33</v>
      </c>
      <c r="Z2" s="297" t="s">
        <v>33</v>
      </c>
      <c r="AA2" s="297" t="s">
        <v>33</v>
      </c>
    </row>
    <row r="3" spans="1:29" x14ac:dyDescent="0.3">
      <c r="A3" s="296" t="s">
        <v>36</v>
      </c>
      <c r="B3" s="296" t="s">
        <v>300</v>
      </c>
      <c r="C3" s="297" t="s">
        <v>33</v>
      </c>
      <c r="D3" s="297" t="s">
        <v>33</v>
      </c>
      <c r="E3" s="297" t="s">
        <v>33</v>
      </c>
      <c r="F3" s="297" t="s">
        <v>33</v>
      </c>
      <c r="G3" s="297" t="s">
        <v>33</v>
      </c>
      <c r="H3" s="297" t="s">
        <v>33</v>
      </c>
      <c r="I3" s="297" t="s">
        <v>33</v>
      </c>
      <c r="J3" s="297" t="s">
        <v>33</v>
      </c>
      <c r="K3" s="297" t="s">
        <v>33</v>
      </c>
      <c r="L3" s="297" t="s">
        <v>33</v>
      </c>
      <c r="M3" s="297" t="s">
        <v>33</v>
      </c>
      <c r="N3" s="297" t="s">
        <v>33</v>
      </c>
      <c r="O3" s="297" t="s">
        <v>33</v>
      </c>
      <c r="P3" s="297" t="s">
        <v>33</v>
      </c>
      <c r="Q3" s="297" t="s">
        <v>33</v>
      </c>
      <c r="R3" s="297" t="s">
        <v>33</v>
      </c>
      <c r="S3" s="297" t="s">
        <v>33</v>
      </c>
      <c r="T3" s="297" t="s">
        <v>33</v>
      </c>
      <c r="U3" s="297" t="s">
        <v>33</v>
      </c>
      <c r="V3" s="297" t="s">
        <v>33</v>
      </c>
      <c r="W3" s="297" t="s">
        <v>33</v>
      </c>
      <c r="X3" s="297" t="s">
        <v>33</v>
      </c>
      <c r="Y3" s="297" t="s">
        <v>33</v>
      </c>
      <c r="Z3" s="297" t="s">
        <v>33</v>
      </c>
      <c r="AA3" s="297" t="s">
        <v>33</v>
      </c>
    </row>
    <row r="4" spans="1:29" x14ac:dyDescent="0.3">
      <c r="A4" s="296" t="s">
        <v>65</v>
      </c>
      <c r="B4" s="296" t="s">
        <v>64</v>
      </c>
      <c r="C4" s="296" t="s">
        <v>29</v>
      </c>
      <c r="D4" s="296" t="s">
        <v>63</v>
      </c>
      <c r="E4" s="296" t="s">
        <v>0</v>
      </c>
      <c r="F4" s="296" t="s">
        <v>62</v>
      </c>
      <c r="G4" s="296" t="s">
        <v>61</v>
      </c>
      <c r="H4" s="296" t="s">
        <v>1</v>
      </c>
      <c r="I4" s="296" t="s">
        <v>60</v>
      </c>
      <c r="J4" s="296" t="s">
        <v>59</v>
      </c>
      <c r="K4" s="296" t="s">
        <v>58</v>
      </c>
      <c r="L4" s="296" t="s">
        <v>66</v>
      </c>
      <c r="M4" s="296" t="s">
        <v>57</v>
      </c>
      <c r="N4" s="296" t="s">
        <v>2</v>
      </c>
      <c r="O4" s="296" t="s">
        <v>56</v>
      </c>
      <c r="P4" s="296" t="s">
        <v>3</v>
      </c>
      <c r="Q4" s="296" t="s">
        <v>55</v>
      </c>
      <c r="R4" s="296" t="s">
        <v>54</v>
      </c>
      <c r="S4" s="296" t="s">
        <v>53</v>
      </c>
      <c r="T4" s="296" t="s">
        <v>37</v>
      </c>
      <c r="U4" s="296" t="s">
        <v>52</v>
      </c>
      <c r="V4" s="296" t="s">
        <v>51</v>
      </c>
      <c r="W4" s="296" t="s">
        <v>38</v>
      </c>
      <c r="X4" s="296" t="s">
        <v>39</v>
      </c>
      <c r="Y4" s="296" t="s">
        <v>40</v>
      </c>
      <c r="Z4" s="296" t="s">
        <v>50</v>
      </c>
      <c r="AA4" s="296" t="s">
        <v>21</v>
      </c>
    </row>
    <row r="5" spans="1:29" ht="14.25" customHeight="1" x14ac:dyDescent="0.3">
      <c r="A5" s="300" t="s">
        <v>45</v>
      </c>
      <c r="B5" s="286" t="s">
        <v>232</v>
      </c>
      <c r="C5" s="301" t="s">
        <v>118</v>
      </c>
      <c r="D5" s="300" t="s">
        <v>49</v>
      </c>
      <c r="E5" s="300" t="s">
        <v>67</v>
      </c>
      <c r="F5" s="300" t="s">
        <v>67</v>
      </c>
      <c r="G5" s="300" t="s">
        <v>67</v>
      </c>
      <c r="H5" s="300"/>
      <c r="I5" s="300"/>
      <c r="J5" s="300"/>
      <c r="K5" s="300"/>
      <c r="L5" s="300"/>
      <c r="M5" s="300" t="s">
        <v>42</v>
      </c>
      <c r="N5" s="300" t="s">
        <v>47</v>
      </c>
      <c r="O5" s="300" t="s">
        <v>22</v>
      </c>
      <c r="P5" s="286" t="s">
        <v>69</v>
      </c>
      <c r="Q5" s="302">
        <v>40005200000</v>
      </c>
      <c r="R5" s="302">
        <v>0</v>
      </c>
      <c r="S5" s="302">
        <v>0</v>
      </c>
      <c r="T5" s="302">
        <v>40005200000</v>
      </c>
      <c r="U5" s="302">
        <v>0</v>
      </c>
      <c r="V5" s="302">
        <v>40005200000</v>
      </c>
      <c r="W5" s="302">
        <v>0</v>
      </c>
      <c r="X5" s="302">
        <v>12473060378</v>
      </c>
      <c r="Y5" s="302">
        <v>12468147656</v>
      </c>
      <c r="Z5" s="302">
        <v>12468147656</v>
      </c>
      <c r="AA5" s="302">
        <v>12446504846</v>
      </c>
      <c r="AC5" s="302">
        <f>V5-X5</f>
        <v>27532139622</v>
      </c>
    </row>
    <row r="6" spans="1:29" ht="14.25" customHeight="1" x14ac:dyDescent="0.3">
      <c r="A6" s="300" t="s">
        <v>45</v>
      </c>
      <c r="B6" s="286" t="s">
        <v>232</v>
      </c>
      <c r="C6" s="301" t="s">
        <v>119</v>
      </c>
      <c r="D6" s="300" t="s">
        <v>49</v>
      </c>
      <c r="E6" s="300" t="s">
        <v>67</v>
      </c>
      <c r="F6" s="300" t="s">
        <v>67</v>
      </c>
      <c r="G6" s="300" t="s">
        <v>83</v>
      </c>
      <c r="H6" s="300"/>
      <c r="I6" s="300"/>
      <c r="J6" s="300"/>
      <c r="K6" s="300"/>
      <c r="L6" s="300"/>
      <c r="M6" s="300" t="s">
        <v>42</v>
      </c>
      <c r="N6" s="300" t="s">
        <v>47</v>
      </c>
      <c r="O6" s="300" t="s">
        <v>22</v>
      </c>
      <c r="P6" s="286" t="s">
        <v>82</v>
      </c>
      <c r="Q6" s="302">
        <v>13920200000</v>
      </c>
      <c r="R6" s="302">
        <v>0</v>
      </c>
      <c r="S6" s="302">
        <v>0</v>
      </c>
      <c r="T6" s="302">
        <v>13920200000</v>
      </c>
      <c r="U6" s="302">
        <v>0</v>
      </c>
      <c r="V6" s="302">
        <v>13920200000</v>
      </c>
      <c r="W6" s="302">
        <v>0</v>
      </c>
      <c r="X6" s="302">
        <v>4954574359.6499996</v>
      </c>
      <c r="Y6" s="302">
        <v>4954574359.6499996</v>
      </c>
      <c r="Z6" s="302">
        <v>4954574359.6499996</v>
      </c>
      <c r="AA6" s="302">
        <v>4954521859.6499996</v>
      </c>
      <c r="AC6" s="302">
        <f t="shared" ref="AC6:AC17" si="0">V6-X6</f>
        <v>8965625640.3500004</v>
      </c>
    </row>
    <row r="7" spans="1:29" ht="14.25" customHeight="1" x14ac:dyDescent="0.3">
      <c r="A7" s="300" t="s">
        <v>45</v>
      </c>
      <c r="B7" s="286" t="s">
        <v>232</v>
      </c>
      <c r="C7" s="301" t="s">
        <v>120</v>
      </c>
      <c r="D7" s="300" t="s">
        <v>49</v>
      </c>
      <c r="E7" s="300" t="s">
        <v>67</v>
      </c>
      <c r="F7" s="300" t="s">
        <v>67</v>
      </c>
      <c r="G7" s="300" t="s">
        <v>89</v>
      </c>
      <c r="H7" s="300"/>
      <c r="I7" s="300"/>
      <c r="J7" s="300"/>
      <c r="K7" s="300"/>
      <c r="L7" s="300"/>
      <c r="M7" s="300" t="s">
        <v>42</v>
      </c>
      <c r="N7" s="300" t="s">
        <v>47</v>
      </c>
      <c r="O7" s="300" t="s">
        <v>22</v>
      </c>
      <c r="P7" s="286" t="s">
        <v>90</v>
      </c>
      <c r="Q7" s="302">
        <v>4461400000</v>
      </c>
      <c r="R7" s="302">
        <v>0</v>
      </c>
      <c r="S7" s="302">
        <v>0</v>
      </c>
      <c r="T7" s="302">
        <v>4461400000</v>
      </c>
      <c r="U7" s="302">
        <v>0</v>
      </c>
      <c r="V7" s="302">
        <v>4461400000</v>
      </c>
      <c r="W7" s="302">
        <v>0</v>
      </c>
      <c r="X7" s="302">
        <v>1008631700</v>
      </c>
      <c r="Y7" s="302">
        <v>1007392715</v>
      </c>
      <c r="Z7" s="302">
        <v>1007392715</v>
      </c>
      <c r="AA7" s="302">
        <v>985282049</v>
      </c>
      <c r="AC7" s="302">
        <f t="shared" si="0"/>
        <v>3452768300</v>
      </c>
    </row>
    <row r="8" spans="1:29" ht="14.25" customHeight="1" x14ac:dyDescent="0.3">
      <c r="A8" s="300" t="s">
        <v>45</v>
      </c>
      <c r="B8" s="286" t="s">
        <v>232</v>
      </c>
      <c r="C8" s="301" t="s">
        <v>289</v>
      </c>
      <c r="D8" s="300" t="s">
        <v>49</v>
      </c>
      <c r="E8" s="300" t="s">
        <v>67</v>
      </c>
      <c r="F8" s="300" t="s">
        <v>67</v>
      </c>
      <c r="G8" s="300" t="s">
        <v>108</v>
      </c>
      <c r="H8" s="300"/>
      <c r="I8" s="300"/>
      <c r="J8" s="300"/>
      <c r="K8" s="300"/>
      <c r="L8" s="300"/>
      <c r="M8" s="300" t="s">
        <v>42</v>
      </c>
      <c r="N8" s="300" t="s">
        <v>47</v>
      </c>
      <c r="O8" s="300" t="s">
        <v>22</v>
      </c>
      <c r="P8" s="286" t="s">
        <v>290</v>
      </c>
      <c r="Q8" s="302">
        <v>8294500000</v>
      </c>
      <c r="R8" s="302">
        <v>0</v>
      </c>
      <c r="S8" s="302">
        <v>0</v>
      </c>
      <c r="T8" s="302">
        <v>8294500000</v>
      </c>
      <c r="U8" s="302">
        <v>8294500000</v>
      </c>
      <c r="V8" s="302">
        <v>0</v>
      </c>
      <c r="W8" s="302">
        <v>0</v>
      </c>
      <c r="X8" s="302">
        <v>0</v>
      </c>
      <c r="Y8" s="302">
        <v>0</v>
      </c>
      <c r="Z8" s="302">
        <v>0</v>
      </c>
      <c r="AA8" s="302">
        <v>0</v>
      </c>
      <c r="AC8" s="302">
        <f t="shared" si="0"/>
        <v>0</v>
      </c>
    </row>
    <row r="9" spans="1:29" ht="14.25" customHeight="1" x14ac:dyDescent="0.3">
      <c r="A9" s="300" t="s">
        <v>45</v>
      </c>
      <c r="B9" s="286" t="s">
        <v>232</v>
      </c>
      <c r="C9" s="301" t="s">
        <v>233</v>
      </c>
      <c r="D9" s="300" t="s">
        <v>49</v>
      </c>
      <c r="E9" s="300" t="s">
        <v>83</v>
      </c>
      <c r="F9" s="300"/>
      <c r="G9" s="300"/>
      <c r="H9" s="300"/>
      <c r="I9" s="300"/>
      <c r="J9" s="300"/>
      <c r="K9" s="300"/>
      <c r="L9" s="300"/>
      <c r="M9" s="300" t="s">
        <v>42</v>
      </c>
      <c r="N9" s="300" t="s">
        <v>47</v>
      </c>
      <c r="O9" s="300" t="s">
        <v>22</v>
      </c>
      <c r="P9" s="286" t="s">
        <v>98</v>
      </c>
      <c r="Q9" s="302">
        <v>18832000000</v>
      </c>
      <c r="R9" s="302">
        <v>0</v>
      </c>
      <c r="S9" s="302">
        <v>0</v>
      </c>
      <c r="T9" s="302">
        <v>18832000000</v>
      </c>
      <c r="U9" s="302">
        <v>0</v>
      </c>
      <c r="V9" s="302">
        <v>18832000000</v>
      </c>
      <c r="W9" s="302">
        <v>0</v>
      </c>
      <c r="X9" s="302">
        <v>14739962062.219999</v>
      </c>
      <c r="Y9" s="302">
        <v>5251221813.8500004</v>
      </c>
      <c r="Z9" s="302">
        <v>5240043563.8500004</v>
      </c>
      <c r="AA9" s="302">
        <v>5205692781.8500004</v>
      </c>
      <c r="AC9" s="302">
        <f t="shared" si="0"/>
        <v>4092037937.7800007</v>
      </c>
    </row>
    <row r="10" spans="1:29" ht="14.25" customHeight="1" x14ac:dyDescent="0.3">
      <c r="A10" s="300" t="s">
        <v>45</v>
      </c>
      <c r="B10" s="286" t="s">
        <v>232</v>
      </c>
      <c r="C10" s="301" t="s">
        <v>121</v>
      </c>
      <c r="D10" s="300" t="s">
        <v>49</v>
      </c>
      <c r="E10" s="300" t="s">
        <v>89</v>
      </c>
      <c r="F10" s="300" t="s">
        <v>89</v>
      </c>
      <c r="G10" s="300" t="s">
        <v>67</v>
      </c>
      <c r="H10" s="300" t="s">
        <v>287</v>
      </c>
      <c r="I10" s="300"/>
      <c r="J10" s="300"/>
      <c r="K10" s="300"/>
      <c r="L10" s="300"/>
      <c r="M10" s="300" t="s">
        <v>42</v>
      </c>
      <c r="N10" s="300" t="s">
        <v>47</v>
      </c>
      <c r="O10" s="300" t="s">
        <v>22</v>
      </c>
      <c r="P10" s="286" t="s">
        <v>27</v>
      </c>
      <c r="Q10" s="302">
        <v>51736700000</v>
      </c>
      <c r="R10" s="302">
        <v>0</v>
      </c>
      <c r="S10" s="302">
        <v>0</v>
      </c>
      <c r="T10" s="302">
        <v>51736700000</v>
      </c>
      <c r="U10" s="302">
        <v>0</v>
      </c>
      <c r="V10" s="302">
        <v>51736700000</v>
      </c>
      <c r="W10" s="302">
        <v>0</v>
      </c>
      <c r="X10" s="302">
        <v>24750356515.610001</v>
      </c>
      <c r="Y10" s="302">
        <v>5859934732.7700005</v>
      </c>
      <c r="Z10" s="302">
        <v>5833622389.1000004</v>
      </c>
      <c r="AA10" s="302">
        <v>5831461911.1000004</v>
      </c>
      <c r="AC10" s="302">
        <f t="shared" si="0"/>
        <v>26986343484.389999</v>
      </c>
    </row>
    <row r="11" spans="1:29" ht="14.25" customHeight="1" x14ac:dyDescent="0.3">
      <c r="A11" s="300" t="s">
        <v>45</v>
      </c>
      <c r="B11" s="286" t="s">
        <v>232</v>
      </c>
      <c r="C11" s="301" t="s">
        <v>257</v>
      </c>
      <c r="D11" s="300" t="s">
        <v>49</v>
      </c>
      <c r="E11" s="300" t="s">
        <v>89</v>
      </c>
      <c r="F11" s="300" t="s">
        <v>89</v>
      </c>
      <c r="G11" s="300" t="s">
        <v>67</v>
      </c>
      <c r="H11" s="300" t="s">
        <v>288</v>
      </c>
      <c r="I11" s="300"/>
      <c r="J11" s="300"/>
      <c r="K11" s="300"/>
      <c r="L11" s="300"/>
      <c r="M11" s="300" t="s">
        <v>42</v>
      </c>
      <c r="N11" s="300" t="s">
        <v>47</v>
      </c>
      <c r="O11" s="300" t="s">
        <v>22</v>
      </c>
      <c r="P11" s="286" t="s">
        <v>258</v>
      </c>
      <c r="Q11" s="302">
        <v>5000000000</v>
      </c>
      <c r="R11" s="302">
        <v>0</v>
      </c>
      <c r="S11" s="302">
        <v>0</v>
      </c>
      <c r="T11" s="302">
        <v>5000000000</v>
      </c>
      <c r="U11" s="302">
        <v>5000000000</v>
      </c>
      <c r="V11" s="302">
        <v>0</v>
      </c>
      <c r="W11" s="302">
        <v>0</v>
      </c>
      <c r="X11" s="302">
        <v>0</v>
      </c>
      <c r="Y11" s="302">
        <v>0</v>
      </c>
      <c r="Z11" s="302">
        <v>0</v>
      </c>
      <c r="AA11" s="302">
        <v>0</v>
      </c>
      <c r="AC11" s="302">
        <f t="shared" si="0"/>
        <v>0</v>
      </c>
    </row>
    <row r="12" spans="1:29" ht="14.25" customHeight="1" x14ac:dyDescent="0.3">
      <c r="A12" s="300" t="s">
        <v>45</v>
      </c>
      <c r="B12" s="286" t="s">
        <v>232</v>
      </c>
      <c r="C12" s="301" t="s">
        <v>122</v>
      </c>
      <c r="D12" s="300" t="s">
        <v>49</v>
      </c>
      <c r="E12" s="300" t="s">
        <v>89</v>
      </c>
      <c r="F12" s="300" t="s">
        <v>108</v>
      </c>
      <c r="G12" s="300" t="s">
        <v>83</v>
      </c>
      <c r="H12" s="300" t="s">
        <v>110</v>
      </c>
      <c r="I12" s="300"/>
      <c r="J12" s="300"/>
      <c r="K12" s="300"/>
      <c r="L12" s="300"/>
      <c r="M12" s="300" t="s">
        <v>42</v>
      </c>
      <c r="N12" s="300" t="s">
        <v>47</v>
      </c>
      <c r="O12" s="300" t="s">
        <v>22</v>
      </c>
      <c r="P12" s="286" t="s">
        <v>125</v>
      </c>
      <c r="Q12" s="302">
        <v>262700000</v>
      </c>
      <c r="R12" s="302">
        <v>0</v>
      </c>
      <c r="S12" s="302">
        <v>0</v>
      </c>
      <c r="T12" s="302">
        <v>262700000</v>
      </c>
      <c r="U12" s="302">
        <v>0</v>
      </c>
      <c r="V12" s="302">
        <v>262700000</v>
      </c>
      <c r="W12" s="302">
        <v>0</v>
      </c>
      <c r="X12" s="302">
        <v>45407266</v>
      </c>
      <c r="Y12" s="302">
        <v>39048064</v>
      </c>
      <c r="Z12" s="302">
        <v>39048064</v>
      </c>
      <c r="AA12" s="302">
        <v>39048064</v>
      </c>
      <c r="AC12" s="302">
        <f t="shared" si="0"/>
        <v>217292734</v>
      </c>
    </row>
    <row r="13" spans="1:29" ht="14.25" customHeight="1" x14ac:dyDescent="0.3">
      <c r="A13" s="300" t="s">
        <v>45</v>
      </c>
      <c r="B13" s="286" t="s">
        <v>232</v>
      </c>
      <c r="C13" s="301" t="s">
        <v>243</v>
      </c>
      <c r="D13" s="300" t="s">
        <v>49</v>
      </c>
      <c r="E13" s="300" t="s">
        <v>89</v>
      </c>
      <c r="F13" s="300" t="s">
        <v>47</v>
      </c>
      <c r="G13" s="300"/>
      <c r="H13" s="300"/>
      <c r="I13" s="300"/>
      <c r="J13" s="300"/>
      <c r="K13" s="300"/>
      <c r="L13" s="300"/>
      <c r="M13" s="300" t="s">
        <v>42</v>
      </c>
      <c r="N13" s="300" t="s">
        <v>47</v>
      </c>
      <c r="O13" s="300" t="s">
        <v>22</v>
      </c>
      <c r="P13" s="286" t="s">
        <v>244</v>
      </c>
      <c r="Q13" s="302">
        <v>108800000</v>
      </c>
      <c r="R13" s="302">
        <v>4164892999</v>
      </c>
      <c r="S13" s="302">
        <v>0</v>
      </c>
      <c r="T13" s="302">
        <v>4273692999</v>
      </c>
      <c r="U13" s="302">
        <v>0</v>
      </c>
      <c r="V13" s="302">
        <v>4273692998.8000002</v>
      </c>
      <c r="W13" s="302">
        <v>0.2</v>
      </c>
      <c r="X13" s="302">
        <v>4121731167.54</v>
      </c>
      <c r="Y13" s="302">
        <v>4121731167.54</v>
      </c>
      <c r="Z13" s="302">
        <v>4121731167.54</v>
      </c>
      <c r="AA13" s="302">
        <v>4121731167.54</v>
      </c>
      <c r="AC13" s="302">
        <f t="shared" si="0"/>
        <v>151961831.26000023</v>
      </c>
    </row>
    <row r="14" spans="1:29" ht="14.25" customHeight="1" x14ac:dyDescent="0.3">
      <c r="A14" s="300" t="s">
        <v>45</v>
      </c>
      <c r="B14" s="286" t="s">
        <v>232</v>
      </c>
      <c r="C14" s="301" t="s">
        <v>123</v>
      </c>
      <c r="D14" s="300" t="s">
        <v>49</v>
      </c>
      <c r="E14" s="300" t="s">
        <v>112</v>
      </c>
      <c r="F14" s="300" t="s">
        <v>108</v>
      </c>
      <c r="G14" s="300" t="s">
        <v>67</v>
      </c>
      <c r="H14" s="300"/>
      <c r="I14" s="300"/>
      <c r="J14" s="300"/>
      <c r="K14" s="300"/>
      <c r="L14" s="300"/>
      <c r="M14" s="300" t="s">
        <v>42</v>
      </c>
      <c r="N14" s="300" t="s">
        <v>46</v>
      </c>
      <c r="O14" s="300" t="s">
        <v>10</v>
      </c>
      <c r="P14" s="286" t="s">
        <v>115</v>
      </c>
      <c r="Q14" s="302">
        <v>299100000</v>
      </c>
      <c r="R14" s="302">
        <v>0</v>
      </c>
      <c r="S14" s="302">
        <v>0</v>
      </c>
      <c r="T14" s="302">
        <v>299100000</v>
      </c>
      <c r="U14" s="302">
        <v>0</v>
      </c>
      <c r="V14" s="302">
        <v>299100000</v>
      </c>
      <c r="W14" s="302">
        <v>0</v>
      </c>
      <c r="X14" s="302">
        <v>0</v>
      </c>
      <c r="Y14" s="302">
        <v>0</v>
      </c>
      <c r="Z14" s="302">
        <v>0</v>
      </c>
      <c r="AA14" s="302">
        <v>0</v>
      </c>
      <c r="AC14" s="302">
        <f t="shared" si="0"/>
        <v>299100000</v>
      </c>
    </row>
    <row r="15" spans="1:29" x14ac:dyDescent="0.3">
      <c r="A15" s="300" t="s">
        <v>45</v>
      </c>
      <c r="B15" s="286" t="s">
        <v>232</v>
      </c>
      <c r="C15" s="301" t="s">
        <v>259</v>
      </c>
      <c r="D15" s="300" t="s">
        <v>44</v>
      </c>
      <c r="E15" s="300" t="s">
        <v>43</v>
      </c>
      <c r="F15" s="300" t="s">
        <v>25</v>
      </c>
      <c r="G15" s="300" t="s">
        <v>48</v>
      </c>
      <c r="H15" s="300" t="s">
        <v>260</v>
      </c>
      <c r="I15" s="300"/>
      <c r="J15" s="300"/>
      <c r="K15" s="300"/>
      <c r="L15" s="300"/>
      <c r="M15" s="300" t="s">
        <v>42</v>
      </c>
      <c r="N15" s="300" t="s">
        <v>47</v>
      </c>
      <c r="O15" s="300" t="s">
        <v>22</v>
      </c>
      <c r="P15" s="286" t="s">
        <v>261</v>
      </c>
      <c r="Q15" s="302">
        <v>3713230542</v>
      </c>
      <c r="R15" s="302">
        <v>0</v>
      </c>
      <c r="S15" s="302">
        <v>0</v>
      </c>
      <c r="T15" s="302">
        <v>3713230542</v>
      </c>
      <c r="U15" s="302">
        <v>0</v>
      </c>
      <c r="V15" s="302">
        <v>3713230542</v>
      </c>
      <c r="W15" s="302">
        <v>0</v>
      </c>
      <c r="X15" s="302">
        <v>790623300</v>
      </c>
      <c r="Y15" s="302">
        <v>213723340</v>
      </c>
      <c r="Z15" s="302">
        <v>213723340</v>
      </c>
      <c r="AA15" s="302">
        <v>213723340</v>
      </c>
      <c r="AC15" s="302">
        <f t="shared" si="0"/>
        <v>2922607242</v>
      </c>
    </row>
    <row r="16" spans="1:29" x14ac:dyDescent="0.3">
      <c r="A16" s="300" t="s">
        <v>45</v>
      </c>
      <c r="B16" s="286" t="s">
        <v>232</v>
      </c>
      <c r="C16" s="301" t="s">
        <v>259</v>
      </c>
      <c r="D16" s="300" t="s">
        <v>44</v>
      </c>
      <c r="E16" s="300" t="s">
        <v>43</v>
      </c>
      <c r="F16" s="300" t="s">
        <v>25</v>
      </c>
      <c r="G16" s="300" t="s">
        <v>48</v>
      </c>
      <c r="H16" s="300" t="s">
        <v>260</v>
      </c>
      <c r="I16" s="300"/>
      <c r="J16" s="300"/>
      <c r="K16" s="300"/>
      <c r="L16" s="300"/>
      <c r="M16" s="300" t="s">
        <v>42</v>
      </c>
      <c r="N16" s="300" t="s">
        <v>205</v>
      </c>
      <c r="O16" s="300" t="s">
        <v>22</v>
      </c>
      <c r="P16" s="286" t="s">
        <v>261</v>
      </c>
      <c r="Q16" s="302">
        <v>8553096458</v>
      </c>
      <c r="R16" s="302">
        <v>0</v>
      </c>
      <c r="S16" s="302">
        <v>0</v>
      </c>
      <c r="T16" s="302">
        <v>8553096458</v>
      </c>
      <c r="U16" s="302">
        <v>0</v>
      </c>
      <c r="V16" s="302">
        <v>8553096458</v>
      </c>
      <c r="W16" s="302">
        <v>0</v>
      </c>
      <c r="X16" s="302">
        <v>6965317367</v>
      </c>
      <c r="Y16" s="302">
        <v>1043605675</v>
      </c>
      <c r="Z16" s="302">
        <v>1043605675</v>
      </c>
      <c r="AA16" s="302">
        <v>1043605675</v>
      </c>
      <c r="AC16" s="302">
        <f t="shared" si="0"/>
        <v>1587779091</v>
      </c>
    </row>
    <row r="17" spans="1:29" x14ac:dyDescent="0.3">
      <c r="A17" s="300" t="s">
        <v>33</v>
      </c>
      <c r="B17" s="286" t="s">
        <v>33</v>
      </c>
      <c r="C17" s="301" t="s">
        <v>33</v>
      </c>
      <c r="D17" s="300" t="s">
        <v>33</v>
      </c>
      <c r="E17" s="300" t="s">
        <v>33</v>
      </c>
      <c r="F17" s="300" t="s">
        <v>33</v>
      </c>
      <c r="G17" s="300" t="s">
        <v>33</v>
      </c>
      <c r="H17" s="300" t="s">
        <v>33</v>
      </c>
      <c r="I17" s="300" t="s">
        <v>33</v>
      </c>
      <c r="J17" s="300" t="s">
        <v>33</v>
      </c>
      <c r="K17" s="300" t="s">
        <v>33</v>
      </c>
      <c r="L17" s="300" t="s">
        <v>33</v>
      </c>
      <c r="M17" s="300" t="s">
        <v>33</v>
      </c>
      <c r="N17" s="300" t="s">
        <v>33</v>
      </c>
      <c r="O17" s="300" t="s">
        <v>33</v>
      </c>
      <c r="P17" s="286" t="s">
        <v>33</v>
      </c>
      <c r="Q17" s="302">
        <v>155186927000</v>
      </c>
      <c r="R17" s="302">
        <v>4164892999</v>
      </c>
      <c r="S17" s="302">
        <v>0</v>
      </c>
      <c r="T17" s="302">
        <v>159351819999</v>
      </c>
      <c r="U17" s="302">
        <v>13294500000</v>
      </c>
      <c r="V17" s="302">
        <v>146057319998.79999</v>
      </c>
      <c r="W17" s="302">
        <v>0.199999809265137</v>
      </c>
      <c r="X17" s="302">
        <v>69849664116.020004</v>
      </c>
      <c r="Y17" s="302">
        <v>34959379523.809998</v>
      </c>
      <c r="Z17" s="302">
        <v>34921888930.139999</v>
      </c>
      <c r="AA17" s="302">
        <v>34841571694.139999</v>
      </c>
      <c r="AC17" s="302">
        <f t="shared" si="0"/>
        <v>76207655882.779984</v>
      </c>
    </row>
    <row r="18" spans="1:29" x14ac:dyDescent="0.3">
      <c r="A18" s="300" t="s">
        <v>33</v>
      </c>
      <c r="B18" s="298" t="s">
        <v>33</v>
      </c>
      <c r="C18" s="301" t="s">
        <v>33</v>
      </c>
      <c r="D18" s="300" t="s">
        <v>33</v>
      </c>
      <c r="E18" s="300" t="s">
        <v>33</v>
      </c>
      <c r="F18" s="300" t="s">
        <v>33</v>
      </c>
      <c r="G18" s="300" t="s">
        <v>33</v>
      </c>
      <c r="H18" s="300" t="s">
        <v>33</v>
      </c>
      <c r="I18" s="300" t="s">
        <v>33</v>
      </c>
      <c r="J18" s="300" t="s">
        <v>33</v>
      </c>
      <c r="K18" s="300" t="s">
        <v>33</v>
      </c>
      <c r="L18" s="300" t="s">
        <v>33</v>
      </c>
      <c r="M18" s="300" t="s">
        <v>33</v>
      </c>
      <c r="N18" s="300" t="s">
        <v>33</v>
      </c>
      <c r="O18" s="300" t="s">
        <v>33</v>
      </c>
      <c r="P18" s="286" t="s">
        <v>33</v>
      </c>
      <c r="Q18" s="299" t="s">
        <v>33</v>
      </c>
      <c r="R18" s="299" t="s">
        <v>33</v>
      </c>
      <c r="S18" s="299" t="s">
        <v>33</v>
      </c>
      <c r="T18" s="299" t="s">
        <v>33</v>
      </c>
      <c r="U18" s="299" t="s">
        <v>33</v>
      </c>
      <c r="V18" s="299" t="s">
        <v>33</v>
      </c>
      <c r="W18" s="299" t="s">
        <v>33</v>
      </c>
      <c r="X18" s="299" t="s">
        <v>33</v>
      </c>
      <c r="Y18" s="299" t="s">
        <v>33</v>
      </c>
      <c r="Z18" s="299" t="s">
        <v>33</v>
      </c>
      <c r="AA18" s="299" t="s">
        <v>33</v>
      </c>
    </row>
  </sheetData>
  <autoFilter ref="A4:AC19" xr:uid="{D74A1080-1959-41AE-B690-0D290CE6E1F1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05AF8-A1C3-4706-929A-1786123A1DF2}">
  <sheetPr filterMode="1"/>
  <dimension ref="A1:AB70"/>
  <sheetViews>
    <sheetView showGridLines="0" zoomScale="92" zoomScaleNormal="92" workbookViewId="0">
      <pane xSplit="3" ySplit="4" topLeftCell="R63" activePane="bottomRight" state="frozen"/>
      <selection pane="topRight" activeCell="D1" sqref="D1"/>
      <selection pane="bottomLeft" activeCell="A5" sqref="A5"/>
      <selection pane="bottomRight" activeCell="X63" sqref="X63"/>
    </sheetView>
  </sheetViews>
  <sheetFormatPr baseColWidth="10" defaultRowHeight="14.4" x14ac:dyDescent="0.3"/>
  <cols>
    <col min="1" max="1" width="13.44140625" style="295" customWidth="1"/>
    <col min="2" max="2" width="26.88671875" style="295" customWidth="1"/>
    <col min="3" max="3" width="29.21875" style="295" customWidth="1"/>
    <col min="4" max="11" width="5.44140625" style="295" customWidth="1"/>
    <col min="12" max="12" width="7" style="295" customWidth="1"/>
    <col min="13" max="13" width="9.6640625" style="295" customWidth="1"/>
    <col min="14" max="14" width="8.109375" style="295" customWidth="1"/>
    <col min="15" max="15" width="9.6640625" style="295" customWidth="1"/>
    <col min="16" max="16" width="27.6640625" style="295" customWidth="1"/>
    <col min="17" max="27" width="18.88671875" style="295" customWidth="1"/>
    <col min="28" max="28" width="15.5546875" style="295" bestFit="1" customWidth="1"/>
    <col min="29" max="29" width="6.44140625" style="295" customWidth="1"/>
    <col min="30" max="16384" width="11.5546875" style="295"/>
  </cols>
  <sheetData>
    <row r="1" spans="1:28" x14ac:dyDescent="0.3">
      <c r="A1" s="296" t="s">
        <v>32</v>
      </c>
      <c r="B1" s="296">
        <v>2025</v>
      </c>
      <c r="C1" s="297" t="s">
        <v>33</v>
      </c>
      <c r="D1" s="297" t="s">
        <v>33</v>
      </c>
      <c r="E1" s="297" t="s">
        <v>33</v>
      </c>
      <c r="F1" s="297" t="s">
        <v>33</v>
      </c>
      <c r="G1" s="297" t="s">
        <v>33</v>
      </c>
      <c r="H1" s="297" t="s">
        <v>33</v>
      </c>
      <c r="I1" s="297" t="s">
        <v>33</v>
      </c>
      <c r="J1" s="297" t="s">
        <v>33</v>
      </c>
      <c r="K1" s="297" t="s">
        <v>33</v>
      </c>
      <c r="L1" s="297" t="s">
        <v>33</v>
      </c>
      <c r="M1" s="297" t="s">
        <v>33</v>
      </c>
      <c r="N1" s="297" t="s">
        <v>33</v>
      </c>
      <c r="O1" s="297" t="s">
        <v>33</v>
      </c>
      <c r="P1" s="297" t="s">
        <v>33</v>
      </c>
      <c r="Q1" s="297" t="s">
        <v>33</v>
      </c>
      <c r="R1" s="297" t="s">
        <v>33</v>
      </c>
      <c r="S1" s="297" t="s">
        <v>33</v>
      </c>
      <c r="T1" s="297" t="s">
        <v>33</v>
      </c>
      <c r="U1" s="297" t="s">
        <v>33</v>
      </c>
      <c r="V1" s="297" t="s">
        <v>33</v>
      </c>
      <c r="W1" s="297" t="s">
        <v>33</v>
      </c>
      <c r="X1" s="297" t="s">
        <v>33</v>
      </c>
      <c r="Y1" s="297" t="s">
        <v>33</v>
      </c>
      <c r="Z1" s="297" t="s">
        <v>33</v>
      </c>
      <c r="AA1" s="297" t="s">
        <v>33</v>
      </c>
    </row>
    <row r="2" spans="1:28" x14ac:dyDescent="0.3">
      <c r="A2" s="296" t="s">
        <v>34</v>
      </c>
      <c r="B2" s="296" t="s">
        <v>35</v>
      </c>
      <c r="C2" s="297" t="s">
        <v>33</v>
      </c>
      <c r="D2" s="297" t="s">
        <v>33</v>
      </c>
      <c r="E2" s="297" t="s">
        <v>33</v>
      </c>
      <c r="F2" s="297" t="s">
        <v>33</v>
      </c>
      <c r="G2" s="297" t="s">
        <v>33</v>
      </c>
      <c r="H2" s="297" t="s">
        <v>33</v>
      </c>
      <c r="I2" s="297" t="s">
        <v>33</v>
      </c>
      <c r="J2" s="297" t="s">
        <v>33</v>
      </c>
      <c r="K2" s="297" t="s">
        <v>33</v>
      </c>
      <c r="L2" s="297" t="s">
        <v>33</v>
      </c>
      <c r="M2" s="297" t="s">
        <v>33</v>
      </c>
      <c r="N2" s="297" t="s">
        <v>33</v>
      </c>
      <c r="O2" s="297" t="s">
        <v>33</v>
      </c>
      <c r="P2" s="297" t="s">
        <v>33</v>
      </c>
      <c r="Q2" s="297" t="s">
        <v>33</v>
      </c>
      <c r="R2" s="297" t="s">
        <v>33</v>
      </c>
      <c r="S2" s="297" t="s">
        <v>33</v>
      </c>
      <c r="T2" s="297" t="s">
        <v>33</v>
      </c>
      <c r="U2" s="297" t="s">
        <v>33</v>
      </c>
      <c r="V2" s="297" t="s">
        <v>33</v>
      </c>
      <c r="W2" s="297" t="s">
        <v>33</v>
      </c>
      <c r="X2" s="297" t="s">
        <v>33</v>
      </c>
      <c r="Y2" s="297" t="s">
        <v>33</v>
      </c>
      <c r="Z2" s="297" t="s">
        <v>33</v>
      </c>
      <c r="AA2" s="297" t="s">
        <v>33</v>
      </c>
    </row>
    <row r="3" spans="1:28" x14ac:dyDescent="0.3">
      <c r="A3" s="296" t="s">
        <v>36</v>
      </c>
      <c r="B3" s="296" t="s">
        <v>300</v>
      </c>
      <c r="C3" s="297" t="s">
        <v>33</v>
      </c>
      <c r="D3" s="297" t="s">
        <v>33</v>
      </c>
      <c r="E3" s="297" t="s">
        <v>33</v>
      </c>
      <c r="F3" s="297" t="s">
        <v>33</v>
      </c>
      <c r="G3" s="297" t="s">
        <v>33</v>
      </c>
      <c r="H3" s="297" t="s">
        <v>33</v>
      </c>
      <c r="I3" s="297" t="s">
        <v>33</v>
      </c>
      <c r="J3" s="297" t="s">
        <v>33</v>
      </c>
      <c r="K3" s="297" t="s">
        <v>33</v>
      </c>
      <c r="L3" s="297" t="s">
        <v>33</v>
      </c>
      <c r="M3" s="297" t="s">
        <v>33</v>
      </c>
      <c r="N3" s="297" t="s">
        <v>33</v>
      </c>
      <c r="O3" s="297" t="s">
        <v>33</v>
      </c>
      <c r="P3" s="297" t="s">
        <v>33</v>
      </c>
      <c r="Q3" s="297" t="s">
        <v>33</v>
      </c>
      <c r="R3" s="297" t="s">
        <v>33</v>
      </c>
      <c r="S3" s="297" t="s">
        <v>33</v>
      </c>
      <c r="T3" s="297" t="s">
        <v>33</v>
      </c>
      <c r="U3" s="297" t="s">
        <v>33</v>
      </c>
      <c r="V3" s="297" t="s">
        <v>33</v>
      </c>
      <c r="W3" s="297" t="s">
        <v>33</v>
      </c>
      <c r="X3" s="297" t="s">
        <v>33</v>
      </c>
      <c r="Y3" s="297" t="s">
        <v>33</v>
      </c>
      <c r="Z3" s="297" t="s">
        <v>33</v>
      </c>
      <c r="AA3" s="297" t="s">
        <v>33</v>
      </c>
    </row>
    <row r="4" spans="1:28" x14ac:dyDescent="0.3">
      <c r="A4" s="296" t="s">
        <v>65</v>
      </c>
      <c r="B4" s="296" t="s">
        <v>64</v>
      </c>
      <c r="C4" s="296" t="s">
        <v>29</v>
      </c>
      <c r="D4" s="296" t="s">
        <v>63</v>
      </c>
      <c r="E4" s="296" t="s">
        <v>0</v>
      </c>
      <c r="F4" s="296" t="s">
        <v>62</v>
      </c>
      <c r="G4" s="296" t="s">
        <v>61</v>
      </c>
      <c r="H4" s="296" t="s">
        <v>1</v>
      </c>
      <c r="I4" s="296" t="s">
        <v>60</v>
      </c>
      <c r="J4" s="296" t="s">
        <v>59</v>
      </c>
      <c r="K4" s="296" t="s">
        <v>58</v>
      </c>
      <c r="L4" s="296" t="s">
        <v>66</v>
      </c>
      <c r="M4" s="296" t="s">
        <v>57</v>
      </c>
      <c r="N4" s="296" t="s">
        <v>2</v>
      </c>
      <c r="O4" s="296" t="s">
        <v>56</v>
      </c>
      <c r="P4" s="296" t="s">
        <v>3</v>
      </c>
      <c r="Q4" s="296" t="s">
        <v>55</v>
      </c>
      <c r="R4" s="296" t="s">
        <v>54</v>
      </c>
      <c r="S4" s="296" t="s">
        <v>53</v>
      </c>
      <c r="T4" s="296" t="s">
        <v>37</v>
      </c>
      <c r="U4" s="296" t="s">
        <v>52</v>
      </c>
      <c r="V4" s="296" t="s">
        <v>51</v>
      </c>
      <c r="W4" s="296" t="s">
        <v>38</v>
      </c>
      <c r="X4" s="296" t="s">
        <v>39</v>
      </c>
      <c r="Y4" s="296" t="s">
        <v>40</v>
      </c>
      <c r="Z4" s="296" t="s">
        <v>50</v>
      </c>
      <c r="AA4" s="296" t="s">
        <v>21</v>
      </c>
    </row>
    <row r="5" spans="1:28" hidden="1" x14ac:dyDescent="0.3">
      <c r="A5" s="300" t="s">
        <v>45</v>
      </c>
      <c r="B5" s="286" t="s">
        <v>232</v>
      </c>
      <c r="C5" s="301" t="s">
        <v>126</v>
      </c>
      <c r="D5" s="300" t="s">
        <v>49</v>
      </c>
      <c r="E5" s="300" t="s">
        <v>67</v>
      </c>
      <c r="F5" s="300" t="s">
        <v>67</v>
      </c>
      <c r="G5" s="300" t="s">
        <v>67</v>
      </c>
      <c r="H5" s="300" t="s">
        <v>70</v>
      </c>
      <c r="I5" s="300" t="s">
        <v>70</v>
      </c>
      <c r="J5" s="300"/>
      <c r="K5" s="300"/>
      <c r="L5" s="300"/>
      <c r="M5" s="300" t="s">
        <v>42</v>
      </c>
      <c r="N5" s="300" t="s">
        <v>47</v>
      </c>
      <c r="O5" s="300" t="s">
        <v>22</v>
      </c>
      <c r="P5" s="286" t="s">
        <v>72</v>
      </c>
      <c r="Q5" s="302">
        <v>27102300000</v>
      </c>
      <c r="R5" s="302">
        <v>0</v>
      </c>
      <c r="S5" s="302">
        <v>0</v>
      </c>
      <c r="T5" s="302">
        <v>27102300000</v>
      </c>
      <c r="U5" s="302">
        <v>0</v>
      </c>
      <c r="V5" s="302">
        <v>27102300000</v>
      </c>
      <c r="W5" s="302">
        <v>0</v>
      </c>
      <c r="X5" s="302">
        <v>9472936398</v>
      </c>
      <c r="Y5" s="302">
        <v>9468023676</v>
      </c>
      <c r="Z5" s="302">
        <v>9468023676</v>
      </c>
      <c r="AA5" s="302">
        <v>9468023676</v>
      </c>
      <c r="AB5" s="302">
        <f>V5-X5</f>
        <v>17629363602</v>
      </c>
    </row>
    <row r="6" spans="1:28" hidden="1" x14ac:dyDescent="0.3">
      <c r="A6" s="300" t="s">
        <v>45</v>
      </c>
      <c r="B6" s="286" t="s">
        <v>232</v>
      </c>
      <c r="C6" s="301" t="s">
        <v>127</v>
      </c>
      <c r="D6" s="300" t="s">
        <v>49</v>
      </c>
      <c r="E6" s="300" t="s">
        <v>67</v>
      </c>
      <c r="F6" s="300" t="s">
        <v>67</v>
      </c>
      <c r="G6" s="300" t="s">
        <v>67</v>
      </c>
      <c r="H6" s="300" t="s">
        <v>70</v>
      </c>
      <c r="I6" s="300" t="s">
        <v>73</v>
      </c>
      <c r="J6" s="300"/>
      <c r="K6" s="300"/>
      <c r="L6" s="300"/>
      <c r="M6" s="300" t="s">
        <v>42</v>
      </c>
      <c r="N6" s="300" t="s">
        <v>47</v>
      </c>
      <c r="O6" s="300" t="s">
        <v>22</v>
      </c>
      <c r="P6" s="286" t="s">
        <v>79</v>
      </c>
      <c r="Q6" s="302">
        <v>5318000000</v>
      </c>
      <c r="R6" s="302">
        <v>0</v>
      </c>
      <c r="S6" s="302">
        <v>0</v>
      </c>
      <c r="T6" s="302">
        <v>5318000000</v>
      </c>
      <c r="U6" s="302">
        <v>0</v>
      </c>
      <c r="V6" s="302">
        <v>5318000000</v>
      </c>
      <c r="W6" s="302">
        <v>0</v>
      </c>
      <c r="X6" s="302">
        <v>2155280534</v>
      </c>
      <c r="Y6" s="302">
        <v>2155280534</v>
      </c>
      <c r="Z6" s="302">
        <v>2155280534</v>
      </c>
      <c r="AA6" s="302">
        <v>2155280534</v>
      </c>
      <c r="AB6" s="302">
        <f t="shared" ref="AB6:AB67" si="0">V6-X6</f>
        <v>3162719466</v>
      </c>
    </row>
    <row r="7" spans="1:28" hidden="1" x14ac:dyDescent="0.3">
      <c r="A7" s="300" t="s">
        <v>45</v>
      </c>
      <c r="B7" s="286" t="s">
        <v>232</v>
      </c>
      <c r="C7" s="301" t="s">
        <v>128</v>
      </c>
      <c r="D7" s="300" t="s">
        <v>49</v>
      </c>
      <c r="E7" s="300" t="s">
        <v>67</v>
      </c>
      <c r="F7" s="300" t="s">
        <v>67</v>
      </c>
      <c r="G7" s="300" t="s">
        <v>67</v>
      </c>
      <c r="H7" s="300" t="s">
        <v>70</v>
      </c>
      <c r="I7" s="300" t="s">
        <v>74</v>
      </c>
      <c r="J7" s="300"/>
      <c r="K7" s="300"/>
      <c r="L7" s="300"/>
      <c r="M7" s="300" t="s">
        <v>42</v>
      </c>
      <c r="N7" s="300" t="s">
        <v>47</v>
      </c>
      <c r="O7" s="300" t="s">
        <v>22</v>
      </c>
      <c r="P7" s="286" t="s">
        <v>5</v>
      </c>
      <c r="Q7" s="302">
        <v>1545000000</v>
      </c>
      <c r="R7" s="302">
        <v>0</v>
      </c>
      <c r="S7" s="302">
        <v>0</v>
      </c>
      <c r="T7" s="302">
        <v>1545000000</v>
      </c>
      <c r="U7" s="302">
        <v>0</v>
      </c>
      <c r="V7" s="302">
        <v>1545000000</v>
      </c>
      <c r="W7" s="302">
        <v>0</v>
      </c>
      <c r="X7" s="302">
        <v>32553213</v>
      </c>
      <c r="Y7" s="302">
        <v>32553213</v>
      </c>
      <c r="Z7" s="302">
        <v>32553213</v>
      </c>
      <c r="AA7" s="302">
        <v>28853013</v>
      </c>
      <c r="AB7" s="302">
        <f t="shared" si="0"/>
        <v>1512446787</v>
      </c>
    </row>
    <row r="8" spans="1:28" hidden="1" x14ac:dyDescent="0.3">
      <c r="A8" s="300" t="s">
        <v>45</v>
      </c>
      <c r="B8" s="286" t="s">
        <v>232</v>
      </c>
      <c r="C8" s="301" t="s">
        <v>129</v>
      </c>
      <c r="D8" s="300" t="s">
        <v>49</v>
      </c>
      <c r="E8" s="300" t="s">
        <v>67</v>
      </c>
      <c r="F8" s="300" t="s">
        <v>67</v>
      </c>
      <c r="G8" s="300" t="s">
        <v>67</v>
      </c>
      <c r="H8" s="300" t="s">
        <v>70</v>
      </c>
      <c r="I8" s="300" t="s">
        <v>75</v>
      </c>
      <c r="J8" s="300"/>
      <c r="K8" s="300"/>
      <c r="L8" s="300"/>
      <c r="M8" s="300" t="s">
        <v>42</v>
      </c>
      <c r="N8" s="300" t="s">
        <v>47</v>
      </c>
      <c r="O8" s="300" t="s">
        <v>22</v>
      </c>
      <c r="P8" s="286" t="s">
        <v>80</v>
      </c>
      <c r="Q8" s="302">
        <v>1138000000</v>
      </c>
      <c r="R8" s="302">
        <v>0</v>
      </c>
      <c r="S8" s="302">
        <v>0</v>
      </c>
      <c r="T8" s="302">
        <v>1138000000</v>
      </c>
      <c r="U8" s="302">
        <v>0</v>
      </c>
      <c r="V8" s="302">
        <v>1138000000</v>
      </c>
      <c r="W8" s="302">
        <v>0</v>
      </c>
      <c r="X8" s="302">
        <v>387325823</v>
      </c>
      <c r="Y8" s="302">
        <v>387325823</v>
      </c>
      <c r="Z8" s="302">
        <v>387325823</v>
      </c>
      <c r="AA8" s="302">
        <v>385599504</v>
      </c>
      <c r="AB8" s="302">
        <f t="shared" si="0"/>
        <v>750674177</v>
      </c>
    </row>
    <row r="9" spans="1:28" hidden="1" x14ac:dyDescent="0.3">
      <c r="A9" s="300" t="s">
        <v>45</v>
      </c>
      <c r="B9" s="286" t="s">
        <v>232</v>
      </c>
      <c r="C9" s="301" t="s">
        <v>130</v>
      </c>
      <c r="D9" s="300" t="s">
        <v>49</v>
      </c>
      <c r="E9" s="300" t="s">
        <v>67</v>
      </c>
      <c r="F9" s="300" t="s">
        <v>67</v>
      </c>
      <c r="G9" s="300" t="s">
        <v>67</v>
      </c>
      <c r="H9" s="300" t="s">
        <v>70</v>
      </c>
      <c r="I9" s="300" t="s">
        <v>76</v>
      </c>
      <c r="J9" s="300"/>
      <c r="K9" s="300"/>
      <c r="L9" s="300"/>
      <c r="M9" s="300" t="s">
        <v>42</v>
      </c>
      <c r="N9" s="300" t="s">
        <v>47</v>
      </c>
      <c r="O9" s="300" t="s">
        <v>22</v>
      </c>
      <c r="P9" s="286" t="s">
        <v>81</v>
      </c>
      <c r="Q9" s="302">
        <v>17900000</v>
      </c>
      <c r="R9" s="302">
        <v>0</v>
      </c>
      <c r="S9" s="302">
        <v>0</v>
      </c>
      <c r="T9" s="302">
        <v>17900000</v>
      </c>
      <c r="U9" s="302">
        <v>0</v>
      </c>
      <c r="V9" s="302">
        <v>17900000</v>
      </c>
      <c r="W9" s="302">
        <v>0</v>
      </c>
      <c r="X9" s="302">
        <v>0</v>
      </c>
      <c r="Y9" s="302">
        <v>0</v>
      </c>
      <c r="Z9" s="302">
        <v>0</v>
      </c>
      <c r="AA9" s="302">
        <v>0</v>
      </c>
      <c r="AB9" s="302">
        <f t="shared" si="0"/>
        <v>17900000</v>
      </c>
    </row>
    <row r="10" spans="1:28" hidden="1" x14ac:dyDescent="0.3">
      <c r="A10" s="300" t="s">
        <v>45</v>
      </c>
      <c r="B10" s="286" t="s">
        <v>232</v>
      </c>
      <c r="C10" s="301" t="s">
        <v>131</v>
      </c>
      <c r="D10" s="300" t="s">
        <v>49</v>
      </c>
      <c r="E10" s="300" t="s">
        <v>67</v>
      </c>
      <c r="F10" s="300" t="s">
        <v>67</v>
      </c>
      <c r="G10" s="300" t="s">
        <v>67</v>
      </c>
      <c r="H10" s="300" t="s">
        <v>70</v>
      </c>
      <c r="I10" s="300" t="s">
        <v>77</v>
      </c>
      <c r="J10" s="300"/>
      <c r="K10" s="300"/>
      <c r="L10" s="300"/>
      <c r="M10" s="300" t="s">
        <v>42</v>
      </c>
      <c r="N10" s="300" t="s">
        <v>47</v>
      </c>
      <c r="O10" s="300" t="s">
        <v>22</v>
      </c>
      <c r="P10" s="286" t="s">
        <v>7</v>
      </c>
      <c r="Q10" s="302">
        <v>3218000000</v>
      </c>
      <c r="R10" s="302">
        <v>0</v>
      </c>
      <c r="S10" s="302">
        <v>0</v>
      </c>
      <c r="T10" s="302">
        <v>3218000000</v>
      </c>
      <c r="U10" s="302">
        <v>0</v>
      </c>
      <c r="V10" s="302">
        <v>3218000000</v>
      </c>
      <c r="W10" s="302">
        <v>0</v>
      </c>
      <c r="X10" s="302">
        <v>15078251</v>
      </c>
      <c r="Y10" s="302">
        <v>15078251</v>
      </c>
      <c r="Z10" s="302">
        <v>15078251</v>
      </c>
      <c r="AA10" s="302">
        <v>12475366</v>
      </c>
      <c r="AB10" s="302">
        <f t="shared" si="0"/>
        <v>3202921749</v>
      </c>
    </row>
    <row r="11" spans="1:28" hidden="1" x14ac:dyDescent="0.3">
      <c r="A11" s="300" t="s">
        <v>45</v>
      </c>
      <c r="B11" s="286" t="s">
        <v>232</v>
      </c>
      <c r="C11" s="301" t="s">
        <v>132</v>
      </c>
      <c r="D11" s="300" t="s">
        <v>49</v>
      </c>
      <c r="E11" s="300" t="s">
        <v>67</v>
      </c>
      <c r="F11" s="300" t="s">
        <v>67</v>
      </c>
      <c r="G11" s="300" t="s">
        <v>67</v>
      </c>
      <c r="H11" s="300" t="s">
        <v>70</v>
      </c>
      <c r="I11" s="300" t="s">
        <v>78</v>
      </c>
      <c r="J11" s="300"/>
      <c r="K11" s="300"/>
      <c r="L11" s="300"/>
      <c r="M11" s="300" t="s">
        <v>42</v>
      </c>
      <c r="N11" s="300" t="s">
        <v>47</v>
      </c>
      <c r="O11" s="300" t="s">
        <v>22</v>
      </c>
      <c r="P11" s="286" t="s">
        <v>6</v>
      </c>
      <c r="Q11" s="302">
        <v>1666000000</v>
      </c>
      <c r="R11" s="302">
        <v>0</v>
      </c>
      <c r="S11" s="302">
        <v>0</v>
      </c>
      <c r="T11" s="302">
        <v>1666000000</v>
      </c>
      <c r="U11" s="302">
        <v>0</v>
      </c>
      <c r="V11" s="302">
        <v>1666000000</v>
      </c>
      <c r="W11" s="302">
        <v>0</v>
      </c>
      <c r="X11" s="302">
        <v>409886159</v>
      </c>
      <c r="Y11" s="302">
        <v>409886159</v>
      </c>
      <c r="Z11" s="302">
        <v>409886159</v>
      </c>
      <c r="AA11" s="302">
        <v>396272753</v>
      </c>
      <c r="AB11" s="302">
        <f t="shared" si="0"/>
        <v>1256113841</v>
      </c>
    </row>
    <row r="12" spans="1:28" hidden="1" x14ac:dyDescent="0.3">
      <c r="A12" s="300" t="s">
        <v>45</v>
      </c>
      <c r="B12" s="286" t="s">
        <v>232</v>
      </c>
      <c r="C12" s="301" t="s">
        <v>133</v>
      </c>
      <c r="D12" s="300" t="s">
        <v>49</v>
      </c>
      <c r="E12" s="300" t="s">
        <v>67</v>
      </c>
      <c r="F12" s="300" t="s">
        <v>67</v>
      </c>
      <c r="G12" s="300" t="s">
        <v>83</v>
      </c>
      <c r="H12" s="300" t="s">
        <v>70</v>
      </c>
      <c r="I12" s="300"/>
      <c r="J12" s="300"/>
      <c r="K12" s="300"/>
      <c r="L12" s="300"/>
      <c r="M12" s="300" t="s">
        <v>42</v>
      </c>
      <c r="N12" s="300" t="s">
        <v>47</v>
      </c>
      <c r="O12" s="300" t="s">
        <v>22</v>
      </c>
      <c r="P12" s="286" t="s">
        <v>218</v>
      </c>
      <c r="Q12" s="302">
        <v>4082290000</v>
      </c>
      <c r="R12" s="302">
        <v>0</v>
      </c>
      <c r="S12" s="302">
        <v>0</v>
      </c>
      <c r="T12" s="302">
        <v>4082290000</v>
      </c>
      <c r="U12" s="302">
        <v>0</v>
      </c>
      <c r="V12" s="302">
        <v>4082290000</v>
      </c>
      <c r="W12" s="302">
        <v>0</v>
      </c>
      <c r="X12" s="302">
        <v>1490595819</v>
      </c>
      <c r="Y12" s="302">
        <v>1490595819</v>
      </c>
      <c r="Z12" s="302">
        <v>1490595819</v>
      </c>
      <c r="AA12" s="302">
        <v>1490595819</v>
      </c>
      <c r="AB12" s="302">
        <f t="shared" si="0"/>
        <v>2591694181</v>
      </c>
    </row>
    <row r="13" spans="1:28" hidden="1" x14ac:dyDescent="0.3">
      <c r="A13" s="300" t="s">
        <v>45</v>
      </c>
      <c r="B13" s="286" t="s">
        <v>232</v>
      </c>
      <c r="C13" s="301" t="s">
        <v>134</v>
      </c>
      <c r="D13" s="300" t="s">
        <v>49</v>
      </c>
      <c r="E13" s="300" t="s">
        <v>67</v>
      </c>
      <c r="F13" s="300" t="s">
        <v>67</v>
      </c>
      <c r="G13" s="300" t="s">
        <v>83</v>
      </c>
      <c r="H13" s="300" t="s">
        <v>84</v>
      </c>
      <c r="I13" s="300"/>
      <c r="J13" s="300"/>
      <c r="K13" s="300"/>
      <c r="L13" s="300"/>
      <c r="M13" s="300" t="s">
        <v>42</v>
      </c>
      <c r="N13" s="300" t="s">
        <v>47</v>
      </c>
      <c r="O13" s="300" t="s">
        <v>22</v>
      </c>
      <c r="P13" s="286" t="s">
        <v>219</v>
      </c>
      <c r="Q13" s="302">
        <v>2420290000</v>
      </c>
      <c r="R13" s="302">
        <v>0</v>
      </c>
      <c r="S13" s="302">
        <v>0</v>
      </c>
      <c r="T13" s="302">
        <v>2420290000</v>
      </c>
      <c r="U13" s="302">
        <v>0</v>
      </c>
      <c r="V13" s="302">
        <v>2420290000</v>
      </c>
      <c r="W13" s="302">
        <v>0</v>
      </c>
      <c r="X13" s="302">
        <v>1055588056</v>
      </c>
      <c r="Y13" s="302">
        <v>1055588056</v>
      </c>
      <c r="Z13" s="302">
        <v>1055588056</v>
      </c>
      <c r="AA13" s="302">
        <v>1055588056</v>
      </c>
      <c r="AB13" s="302">
        <f t="shared" si="0"/>
        <v>1364701944</v>
      </c>
    </row>
    <row r="14" spans="1:28" hidden="1" x14ac:dyDescent="0.3">
      <c r="A14" s="300" t="s">
        <v>45</v>
      </c>
      <c r="B14" s="286" t="s">
        <v>232</v>
      </c>
      <c r="C14" s="301" t="s">
        <v>135</v>
      </c>
      <c r="D14" s="300" t="s">
        <v>49</v>
      </c>
      <c r="E14" s="300" t="s">
        <v>67</v>
      </c>
      <c r="F14" s="300" t="s">
        <v>67</v>
      </c>
      <c r="G14" s="300" t="s">
        <v>83</v>
      </c>
      <c r="H14" s="300" t="s">
        <v>73</v>
      </c>
      <c r="I14" s="300"/>
      <c r="J14" s="300"/>
      <c r="K14" s="300"/>
      <c r="L14" s="300"/>
      <c r="M14" s="300" t="s">
        <v>42</v>
      </c>
      <c r="N14" s="300" t="s">
        <v>47</v>
      </c>
      <c r="O14" s="300" t="s">
        <v>22</v>
      </c>
      <c r="P14" s="286" t="s">
        <v>136</v>
      </c>
      <c r="Q14" s="302">
        <v>3374290000</v>
      </c>
      <c r="R14" s="302">
        <v>0</v>
      </c>
      <c r="S14" s="302">
        <v>0</v>
      </c>
      <c r="T14" s="302">
        <v>3374290000</v>
      </c>
      <c r="U14" s="302">
        <v>0</v>
      </c>
      <c r="V14" s="302">
        <v>3374290000</v>
      </c>
      <c r="W14" s="302">
        <v>0</v>
      </c>
      <c r="X14" s="302">
        <v>1204294584.6500001</v>
      </c>
      <c r="Y14" s="302">
        <v>1204294584.6500001</v>
      </c>
      <c r="Z14" s="302">
        <v>1204294584.6500001</v>
      </c>
      <c r="AA14" s="302">
        <v>1204294584.6500001</v>
      </c>
      <c r="AB14" s="302">
        <f t="shared" si="0"/>
        <v>2169995415.3499999</v>
      </c>
    </row>
    <row r="15" spans="1:28" hidden="1" x14ac:dyDescent="0.3">
      <c r="A15" s="300" t="s">
        <v>45</v>
      </c>
      <c r="B15" s="286" t="s">
        <v>232</v>
      </c>
      <c r="C15" s="301" t="s">
        <v>137</v>
      </c>
      <c r="D15" s="300" t="s">
        <v>49</v>
      </c>
      <c r="E15" s="300" t="s">
        <v>67</v>
      </c>
      <c r="F15" s="300" t="s">
        <v>67</v>
      </c>
      <c r="G15" s="300" t="s">
        <v>83</v>
      </c>
      <c r="H15" s="300" t="s">
        <v>85</v>
      </c>
      <c r="I15" s="300"/>
      <c r="J15" s="300"/>
      <c r="K15" s="300"/>
      <c r="L15" s="300"/>
      <c r="M15" s="300" t="s">
        <v>42</v>
      </c>
      <c r="N15" s="300" t="s">
        <v>47</v>
      </c>
      <c r="O15" s="300" t="s">
        <v>22</v>
      </c>
      <c r="P15" s="286" t="s">
        <v>220</v>
      </c>
      <c r="Q15" s="302">
        <v>1698290000</v>
      </c>
      <c r="R15" s="302">
        <v>0</v>
      </c>
      <c r="S15" s="302">
        <v>0</v>
      </c>
      <c r="T15" s="302">
        <v>1698290000</v>
      </c>
      <c r="U15" s="302">
        <v>0</v>
      </c>
      <c r="V15" s="302">
        <v>1698290000</v>
      </c>
      <c r="W15" s="302">
        <v>0</v>
      </c>
      <c r="X15" s="302">
        <v>507749800</v>
      </c>
      <c r="Y15" s="302">
        <v>507749800</v>
      </c>
      <c r="Z15" s="302">
        <v>507749800</v>
      </c>
      <c r="AA15" s="302">
        <v>507749800</v>
      </c>
      <c r="AB15" s="302">
        <f t="shared" si="0"/>
        <v>1190540200</v>
      </c>
    </row>
    <row r="16" spans="1:28" hidden="1" x14ac:dyDescent="0.3">
      <c r="A16" s="300" t="s">
        <v>45</v>
      </c>
      <c r="B16" s="286" t="s">
        <v>232</v>
      </c>
      <c r="C16" s="301" t="s">
        <v>138</v>
      </c>
      <c r="D16" s="300" t="s">
        <v>49</v>
      </c>
      <c r="E16" s="300" t="s">
        <v>67</v>
      </c>
      <c r="F16" s="300" t="s">
        <v>67</v>
      </c>
      <c r="G16" s="300" t="s">
        <v>83</v>
      </c>
      <c r="H16" s="300" t="s">
        <v>86</v>
      </c>
      <c r="I16" s="300"/>
      <c r="J16" s="300"/>
      <c r="K16" s="300"/>
      <c r="L16" s="300"/>
      <c r="M16" s="300" t="s">
        <v>42</v>
      </c>
      <c r="N16" s="300" t="s">
        <v>47</v>
      </c>
      <c r="O16" s="300" t="s">
        <v>22</v>
      </c>
      <c r="P16" s="286" t="s">
        <v>87</v>
      </c>
      <c r="Q16" s="302">
        <v>254460000</v>
      </c>
      <c r="R16" s="302">
        <v>0</v>
      </c>
      <c r="S16" s="302">
        <v>0</v>
      </c>
      <c r="T16" s="302">
        <v>254460000</v>
      </c>
      <c r="U16" s="302">
        <v>0</v>
      </c>
      <c r="V16" s="302">
        <v>254460000</v>
      </c>
      <c r="W16" s="302">
        <v>0</v>
      </c>
      <c r="X16" s="302">
        <v>61622900</v>
      </c>
      <c r="Y16" s="302">
        <v>61622900</v>
      </c>
      <c r="Z16" s="302">
        <v>61622900</v>
      </c>
      <c r="AA16" s="302">
        <v>61570400</v>
      </c>
      <c r="AB16" s="302">
        <f t="shared" si="0"/>
        <v>192837100</v>
      </c>
    </row>
    <row r="17" spans="1:28" hidden="1" x14ac:dyDescent="0.3">
      <c r="A17" s="300" t="s">
        <v>45</v>
      </c>
      <c r="B17" s="286" t="s">
        <v>232</v>
      </c>
      <c r="C17" s="301" t="s">
        <v>139</v>
      </c>
      <c r="D17" s="300" t="s">
        <v>49</v>
      </c>
      <c r="E17" s="300" t="s">
        <v>67</v>
      </c>
      <c r="F17" s="300" t="s">
        <v>67</v>
      </c>
      <c r="G17" s="300" t="s">
        <v>83</v>
      </c>
      <c r="H17" s="300" t="s">
        <v>74</v>
      </c>
      <c r="I17" s="300"/>
      <c r="J17" s="300"/>
      <c r="K17" s="300"/>
      <c r="L17" s="300"/>
      <c r="M17" s="300" t="s">
        <v>42</v>
      </c>
      <c r="N17" s="300" t="s">
        <v>47</v>
      </c>
      <c r="O17" s="300" t="s">
        <v>22</v>
      </c>
      <c r="P17" s="286" t="s">
        <v>88</v>
      </c>
      <c r="Q17" s="302">
        <v>1238290000</v>
      </c>
      <c r="R17" s="302">
        <v>0</v>
      </c>
      <c r="S17" s="302">
        <v>0</v>
      </c>
      <c r="T17" s="302">
        <v>1238290000</v>
      </c>
      <c r="U17" s="302">
        <v>0</v>
      </c>
      <c r="V17" s="302">
        <v>1238290000</v>
      </c>
      <c r="W17" s="302">
        <v>0</v>
      </c>
      <c r="X17" s="302">
        <v>380827300</v>
      </c>
      <c r="Y17" s="302">
        <v>380827300</v>
      </c>
      <c r="Z17" s="302">
        <v>380827300</v>
      </c>
      <c r="AA17" s="302">
        <v>380827300</v>
      </c>
      <c r="AB17" s="302">
        <f t="shared" si="0"/>
        <v>857462700</v>
      </c>
    </row>
    <row r="18" spans="1:28" hidden="1" x14ac:dyDescent="0.3">
      <c r="A18" s="300" t="s">
        <v>45</v>
      </c>
      <c r="B18" s="286" t="s">
        <v>232</v>
      </c>
      <c r="C18" s="301" t="s">
        <v>140</v>
      </c>
      <c r="D18" s="300" t="s">
        <v>49</v>
      </c>
      <c r="E18" s="300" t="s">
        <v>67</v>
      </c>
      <c r="F18" s="300" t="s">
        <v>67</v>
      </c>
      <c r="G18" s="300" t="s">
        <v>83</v>
      </c>
      <c r="H18" s="300" t="s">
        <v>75</v>
      </c>
      <c r="I18" s="300"/>
      <c r="J18" s="300"/>
      <c r="K18" s="300"/>
      <c r="L18" s="300"/>
      <c r="M18" s="300" t="s">
        <v>42</v>
      </c>
      <c r="N18" s="300" t="s">
        <v>47</v>
      </c>
      <c r="O18" s="300" t="s">
        <v>22</v>
      </c>
      <c r="P18" s="286" t="s">
        <v>8</v>
      </c>
      <c r="Q18" s="302">
        <v>852290000</v>
      </c>
      <c r="R18" s="302">
        <v>0</v>
      </c>
      <c r="S18" s="302">
        <v>0</v>
      </c>
      <c r="T18" s="302">
        <v>852290000</v>
      </c>
      <c r="U18" s="302">
        <v>0</v>
      </c>
      <c r="V18" s="302">
        <v>852290000</v>
      </c>
      <c r="W18" s="302">
        <v>0</v>
      </c>
      <c r="X18" s="302">
        <v>253895900</v>
      </c>
      <c r="Y18" s="302">
        <v>253895900</v>
      </c>
      <c r="Z18" s="302">
        <v>253895900</v>
      </c>
      <c r="AA18" s="302">
        <v>253895900</v>
      </c>
      <c r="AB18" s="302">
        <f t="shared" si="0"/>
        <v>598394100</v>
      </c>
    </row>
    <row r="19" spans="1:28" hidden="1" x14ac:dyDescent="0.3">
      <c r="A19" s="300" t="s">
        <v>45</v>
      </c>
      <c r="B19" s="286" t="s">
        <v>232</v>
      </c>
      <c r="C19" s="301" t="s">
        <v>141</v>
      </c>
      <c r="D19" s="300" t="s">
        <v>49</v>
      </c>
      <c r="E19" s="300" t="s">
        <v>67</v>
      </c>
      <c r="F19" s="300" t="s">
        <v>67</v>
      </c>
      <c r="G19" s="300" t="s">
        <v>89</v>
      </c>
      <c r="H19" s="300" t="s">
        <v>70</v>
      </c>
      <c r="I19" s="300" t="s">
        <v>70</v>
      </c>
      <c r="J19" s="300"/>
      <c r="K19" s="300"/>
      <c r="L19" s="300"/>
      <c r="M19" s="300" t="s">
        <v>42</v>
      </c>
      <c r="N19" s="300" t="s">
        <v>47</v>
      </c>
      <c r="O19" s="300" t="s">
        <v>22</v>
      </c>
      <c r="P19" s="286" t="s">
        <v>221</v>
      </c>
      <c r="Q19" s="302">
        <v>1797000000</v>
      </c>
      <c r="R19" s="302">
        <v>0</v>
      </c>
      <c r="S19" s="302">
        <v>0</v>
      </c>
      <c r="T19" s="302">
        <v>1797000000</v>
      </c>
      <c r="U19" s="302">
        <v>0</v>
      </c>
      <c r="V19" s="302">
        <v>1797000000</v>
      </c>
      <c r="W19" s="302">
        <v>0</v>
      </c>
      <c r="X19" s="302">
        <v>589091264</v>
      </c>
      <c r="Y19" s="302">
        <v>589091264</v>
      </c>
      <c r="Z19" s="302">
        <v>589091264</v>
      </c>
      <c r="AA19" s="302">
        <v>568604227</v>
      </c>
      <c r="AB19" s="302">
        <f t="shared" si="0"/>
        <v>1207908736</v>
      </c>
    </row>
    <row r="20" spans="1:28" hidden="1" x14ac:dyDescent="0.3">
      <c r="A20" s="300" t="s">
        <v>45</v>
      </c>
      <c r="B20" s="286" t="s">
        <v>232</v>
      </c>
      <c r="C20" s="301" t="s">
        <v>142</v>
      </c>
      <c r="D20" s="300" t="s">
        <v>49</v>
      </c>
      <c r="E20" s="300" t="s">
        <v>67</v>
      </c>
      <c r="F20" s="300" t="s">
        <v>67</v>
      </c>
      <c r="G20" s="300" t="s">
        <v>89</v>
      </c>
      <c r="H20" s="300" t="s">
        <v>70</v>
      </c>
      <c r="I20" s="300" t="s">
        <v>84</v>
      </c>
      <c r="J20" s="300"/>
      <c r="K20" s="300"/>
      <c r="L20" s="300"/>
      <c r="M20" s="300" t="s">
        <v>42</v>
      </c>
      <c r="N20" s="300" t="s">
        <v>47</v>
      </c>
      <c r="O20" s="300" t="s">
        <v>22</v>
      </c>
      <c r="P20" s="286" t="s">
        <v>30</v>
      </c>
      <c r="Q20" s="302">
        <v>700000000</v>
      </c>
      <c r="R20" s="302">
        <v>0</v>
      </c>
      <c r="S20" s="302">
        <v>0</v>
      </c>
      <c r="T20" s="302">
        <v>700000000</v>
      </c>
      <c r="U20" s="302">
        <v>0</v>
      </c>
      <c r="V20" s="302">
        <v>700000000</v>
      </c>
      <c r="W20" s="302">
        <v>0</v>
      </c>
      <c r="X20" s="302">
        <v>0</v>
      </c>
      <c r="Y20" s="302">
        <v>0</v>
      </c>
      <c r="Z20" s="302">
        <v>0</v>
      </c>
      <c r="AA20" s="302">
        <v>0</v>
      </c>
      <c r="AB20" s="302">
        <f t="shared" si="0"/>
        <v>700000000</v>
      </c>
    </row>
    <row r="21" spans="1:28" hidden="1" x14ac:dyDescent="0.3">
      <c r="A21" s="300" t="s">
        <v>45</v>
      </c>
      <c r="B21" s="286" t="s">
        <v>232</v>
      </c>
      <c r="C21" s="301" t="s">
        <v>143</v>
      </c>
      <c r="D21" s="300" t="s">
        <v>49</v>
      </c>
      <c r="E21" s="300" t="s">
        <v>67</v>
      </c>
      <c r="F21" s="300" t="s">
        <v>67</v>
      </c>
      <c r="G21" s="300" t="s">
        <v>89</v>
      </c>
      <c r="H21" s="300" t="s">
        <v>70</v>
      </c>
      <c r="I21" s="300" t="s">
        <v>73</v>
      </c>
      <c r="J21" s="300"/>
      <c r="K21" s="300"/>
      <c r="L21" s="300"/>
      <c r="M21" s="300" t="s">
        <v>42</v>
      </c>
      <c r="N21" s="300" t="s">
        <v>47</v>
      </c>
      <c r="O21" s="300" t="s">
        <v>22</v>
      </c>
      <c r="P21" s="286" t="s">
        <v>31</v>
      </c>
      <c r="Q21" s="302">
        <v>180000000</v>
      </c>
      <c r="R21" s="302">
        <v>0</v>
      </c>
      <c r="S21" s="302">
        <v>0</v>
      </c>
      <c r="T21" s="302">
        <v>180000000</v>
      </c>
      <c r="U21" s="302">
        <v>0</v>
      </c>
      <c r="V21" s="302">
        <v>180000000</v>
      </c>
      <c r="W21" s="302">
        <v>0</v>
      </c>
      <c r="X21" s="302">
        <v>34286433</v>
      </c>
      <c r="Y21" s="302">
        <v>34286433</v>
      </c>
      <c r="Z21" s="302">
        <v>34286433</v>
      </c>
      <c r="AA21" s="302">
        <v>32662804</v>
      </c>
      <c r="AB21" s="302">
        <f t="shared" si="0"/>
        <v>145713567</v>
      </c>
    </row>
    <row r="22" spans="1:28" hidden="1" x14ac:dyDescent="0.3">
      <c r="A22" s="300" t="s">
        <v>45</v>
      </c>
      <c r="B22" s="286" t="s">
        <v>232</v>
      </c>
      <c r="C22" s="301" t="s">
        <v>144</v>
      </c>
      <c r="D22" s="300" t="s">
        <v>49</v>
      </c>
      <c r="E22" s="300" t="s">
        <v>67</v>
      </c>
      <c r="F22" s="300" t="s">
        <v>67</v>
      </c>
      <c r="G22" s="300" t="s">
        <v>89</v>
      </c>
      <c r="H22" s="300" t="s">
        <v>84</v>
      </c>
      <c r="I22" s="300"/>
      <c r="J22" s="300"/>
      <c r="K22" s="300"/>
      <c r="L22" s="300"/>
      <c r="M22" s="300" t="s">
        <v>42</v>
      </c>
      <c r="N22" s="300" t="s">
        <v>47</v>
      </c>
      <c r="O22" s="300" t="s">
        <v>22</v>
      </c>
      <c r="P22" s="286" t="s">
        <v>94</v>
      </c>
      <c r="Q22" s="302">
        <v>1388952000</v>
      </c>
      <c r="R22" s="302">
        <v>0</v>
      </c>
      <c r="S22" s="302">
        <v>0</v>
      </c>
      <c r="T22" s="302">
        <v>1388952000</v>
      </c>
      <c r="U22" s="302">
        <v>0</v>
      </c>
      <c r="V22" s="302">
        <v>1388952000</v>
      </c>
      <c r="W22" s="302">
        <v>0</v>
      </c>
      <c r="X22" s="302">
        <v>340413772</v>
      </c>
      <c r="Y22" s="302">
        <v>339174787</v>
      </c>
      <c r="Z22" s="302">
        <v>339174787</v>
      </c>
      <c r="AA22" s="302">
        <v>339174787</v>
      </c>
      <c r="AB22" s="302">
        <f t="shared" si="0"/>
        <v>1048538228</v>
      </c>
    </row>
    <row r="23" spans="1:28" hidden="1" x14ac:dyDescent="0.3">
      <c r="A23" s="300" t="s">
        <v>45</v>
      </c>
      <c r="B23" s="286" t="s">
        <v>232</v>
      </c>
      <c r="C23" s="301" t="s">
        <v>145</v>
      </c>
      <c r="D23" s="300" t="s">
        <v>49</v>
      </c>
      <c r="E23" s="300" t="s">
        <v>67</v>
      </c>
      <c r="F23" s="300" t="s">
        <v>67</v>
      </c>
      <c r="G23" s="300" t="s">
        <v>89</v>
      </c>
      <c r="H23" s="300" t="s">
        <v>146</v>
      </c>
      <c r="I23" s="300"/>
      <c r="J23" s="300"/>
      <c r="K23" s="300"/>
      <c r="L23" s="300"/>
      <c r="M23" s="300" t="s">
        <v>42</v>
      </c>
      <c r="N23" s="300" t="s">
        <v>47</v>
      </c>
      <c r="O23" s="300" t="s">
        <v>22</v>
      </c>
      <c r="P23" s="286" t="s">
        <v>147</v>
      </c>
      <c r="Q23" s="302">
        <v>180000000</v>
      </c>
      <c r="R23" s="302">
        <v>0</v>
      </c>
      <c r="S23" s="302">
        <v>0</v>
      </c>
      <c r="T23" s="302">
        <v>180000000</v>
      </c>
      <c r="U23" s="302">
        <v>0</v>
      </c>
      <c r="V23" s="302">
        <v>180000000</v>
      </c>
      <c r="W23" s="302">
        <v>0</v>
      </c>
      <c r="X23" s="302">
        <v>0</v>
      </c>
      <c r="Y23" s="302">
        <v>0</v>
      </c>
      <c r="Z23" s="302">
        <v>0</v>
      </c>
      <c r="AA23" s="302">
        <v>0</v>
      </c>
      <c r="AB23" s="302">
        <f t="shared" si="0"/>
        <v>180000000</v>
      </c>
    </row>
    <row r="24" spans="1:28" hidden="1" x14ac:dyDescent="0.3">
      <c r="A24" s="300" t="s">
        <v>45</v>
      </c>
      <c r="B24" s="286" t="s">
        <v>232</v>
      </c>
      <c r="C24" s="301" t="s">
        <v>148</v>
      </c>
      <c r="D24" s="300" t="s">
        <v>49</v>
      </c>
      <c r="E24" s="300" t="s">
        <v>67</v>
      </c>
      <c r="F24" s="300" t="s">
        <v>67</v>
      </c>
      <c r="G24" s="300" t="s">
        <v>89</v>
      </c>
      <c r="H24" s="300" t="s">
        <v>91</v>
      </c>
      <c r="I24" s="300"/>
      <c r="J24" s="300"/>
      <c r="K24" s="300"/>
      <c r="L24" s="300"/>
      <c r="M24" s="300" t="s">
        <v>42</v>
      </c>
      <c r="N24" s="300" t="s">
        <v>47</v>
      </c>
      <c r="O24" s="300" t="s">
        <v>22</v>
      </c>
      <c r="P24" s="286" t="s">
        <v>96</v>
      </c>
      <c r="Q24" s="302">
        <v>84000000</v>
      </c>
      <c r="R24" s="302">
        <v>0</v>
      </c>
      <c r="S24" s="302">
        <v>0</v>
      </c>
      <c r="T24" s="302">
        <v>84000000</v>
      </c>
      <c r="U24" s="302">
        <v>0</v>
      </c>
      <c r="V24" s="302">
        <v>84000000</v>
      </c>
      <c r="W24" s="302">
        <v>0</v>
      </c>
      <c r="X24" s="302">
        <v>44840231</v>
      </c>
      <c r="Y24" s="302">
        <v>44840231</v>
      </c>
      <c r="Z24" s="302">
        <v>44840231</v>
      </c>
      <c r="AA24" s="302">
        <v>44840231</v>
      </c>
      <c r="AB24" s="302">
        <f t="shared" si="0"/>
        <v>39159769</v>
      </c>
    </row>
    <row r="25" spans="1:28" hidden="1" x14ac:dyDescent="0.3">
      <c r="A25" s="300" t="s">
        <v>45</v>
      </c>
      <c r="B25" s="286" t="s">
        <v>232</v>
      </c>
      <c r="C25" s="301" t="s">
        <v>149</v>
      </c>
      <c r="D25" s="300" t="s">
        <v>49</v>
      </c>
      <c r="E25" s="300" t="s">
        <v>67</v>
      </c>
      <c r="F25" s="300" t="s">
        <v>67</v>
      </c>
      <c r="G25" s="300" t="s">
        <v>89</v>
      </c>
      <c r="H25" s="300" t="s">
        <v>92</v>
      </c>
      <c r="I25" s="300"/>
      <c r="J25" s="300"/>
      <c r="K25" s="300"/>
      <c r="L25" s="300"/>
      <c r="M25" s="300" t="s">
        <v>42</v>
      </c>
      <c r="N25" s="300" t="s">
        <v>47</v>
      </c>
      <c r="O25" s="300" t="s">
        <v>22</v>
      </c>
      <c r="P25" s="286" t="s">
        <v>97</v>
      </c>
      <c r="Q25" s="302">
        <v>131448000</v>
      </c>
      <c r="R25" s="302">
        <v>0</v>
      </c>
      <c r="S25" s="302">
        <v>0</v>
      </c>
      <c r="T25" s="302">
        <v>131448000</v>
      </c>
      <c r="U25" s="302">
        <v>0</v>
      </c>
      <c r="V25" s="302">
        <v>131448000</v>
      </c>
      <c r="W25" s="302">
        <v>0</v>
      </c>
      <c r="X25" s="302">
        <v>0</v>
      </c>
      <c r="Y25" s="302">
        <v>0</v>
      </c>
      <c r="Z25" s="302">
        <v>0</v>
      </c>
      <c r="AA25" s="302">
        <v>0</v>
      </c>
      <c r="AB25" s="302">
        <f t="shared" si="0"/>
        <v>131448000</v>
      </c>
    </row>
    <row r="26" spans="1:28" hidden="1" x14ac:dyDescent="0.3">
      <c r="A26" s="300" t="s">
        <v>45</v>
      </c>
      <c r="B26" s="286" t="s">
        <v>232</v>
      </c>
      <c r="C26" s="301" t="s">
        <v>291</v>
      </c>
      <c r="D26" s="300" t="s">
        <v>49</v>
      </c>
      <c r="E26" s="300" t="s">
        <v>83</v>
      </c>
      <c r="F26" s="300" t="s">
        <v>67</v>
      </c>
      <c r="G26" s="300" t="s">
        <v>67</v>
      </c>
      <c r="H26" s="300" t="s">
        <v>85</v>
      </c>
      <c r="I26" s="300" t="s">
        <v>75</v>
      </c>
      <c r="J26" s="300"/>
      <c r="K26" s="300"/>
      <c r="L26" s="300"/>
      <c r="M26" s="300" t="s">
        <v>42</v>
      </c>
      <c r="N26" s="300" t="s">
        <v>47</v>
      </c>
      <c r="O26" s="300" t="s">
        <v>22</v>
      </c>
      <c r="P26" s="286" t="s">
        <v>159</v>
      </c>
      <c r="Q26" s="302">
        <v>50000000</v>
      </c>
      <c r="R26" s="302">
        <v>20000000</v>
      </c>
      <c r="S26" s="302">
        <v>0</v>
      </c>
      <c r="T26" s="302">
        <v>70000000</v>
      </c>
      <c r="U26" s="302">
        <v>0</v>
      </c>
      <c r="V26" s="302">
        <v>70000000</v>
      </c>
      <c r="W26" s="302">
        <v>0</v>
      </c>
      <c r="X26" s="302">
        <v>0</v>
      </c>
      <c r="Y26" s="302">
        <v>0</v>
      </c>
      <c r="Z26" s="302">
        <v>0</v>
      </c>
      <c r="AA26" s="302">
        <v>0</v>
      </c>
      <c r="AB26" s="302">
        <f t="shared" si="0"/>
        <v>70000000</v>
      </c>
    </row>
    <row r="27" spans="1:28" hidden="1" x14ac:dyDescent="0.3">
      <c r="A27" s="300" t="s">
        <v>45</v>
      </c>
      <c r="B27" s="286" t="s">
        <v>232</v>
      </c>
      <c r="C27" s="301" t="s">
        <v>156</v>
      </c>
      <c r="D27" s="300" t="s">
        <v>49</v>
      </c>
      <c r="E27" s="300" t="s">
        <v>83</v>
      </c>
      <c r="F27" s="300" t="s">
        <v>83</v>
      </c>
      <c r="G27" s="300" t="s">
        <v>67</v>
      </c>
      <c r="H27" s="300" t="s">
        <v>84</v>
      </c>
      <c r="I27" s="300" t="s">
        <v>73</v>
      </c>
      <c r="J27" s="300"/>
      <c r="K27" s="300"/>
      <c r="L27" s="300"/>
      <c r="M27" s="300" t="s">
        <v>42</v>
      </c>
      <c r="N27" s="300" t="s">
        <v>47</v>
      </c>
      <c r="O27" s="300" t="s">
        <v>22</v>
      </c>
      <c r="P27" s="286" t="s">
        <v>157</v>
      </c>
      <c r="Q27" s="302">
        <v>4319775</v>
      </c>
      <c r="R27" s="302">
        <v>0</v>
      </c>
      <c r="S27" s="302">
        <v>0</v>
      </c>
      <c r="T27" s="302">
        <v>4319775</v>
      </c>
      <c r="U27" s="302">
        <v>0</v>
      </c>
      <c r="V27" s="302">
        <v>4319775</v>
      </c>
      <c r="W27" s="302">
        <v>0</v>
      </c>
      <c r="X27" s="302">
        <v>2330900</v>
      </c>
      <c r="Y27" s="302">
        <v>2330900</v>
      </c>
      <c r="Z27" s="302">
        <v>2330900</v>
      </c>
      <c r="AA27" s="302">
        <v>2330900</v>
      </c>
      <c r="AB27" s="302">
        <f t="shared" si="0"/>
        <v>1988875</v>
      </c>
    </row>
    <row r="28" spans="1:28" hidden="1" x14ac:dyDescent="0.3">
      <c r="A28" s="300" t="s">
        <v>45</v>
      </c>
      <c r="B28" s="286" t="s">
        <v>232</v>
      </c>
      <c r="C28" s="301" t="s">
        <v>277</v>
      </c>
      <c r="D28" s="300" t="s">
        <v>49</v>
      </c>
      <c r="E28" s="300" t="s">
        <v>83</v>
      </c>
      <c r="F28" s="300" t="s">
        <v>83</v>
      </c>
      <c r="G28" s="300" t="s">
        <v>67</v>
      </c>
      <c r="H28" s="300" t="s">
        <v>84</v>
      </c>
      <c r="I28" s="300" t="s">
        <v>74</v>
      </c>
      <c r="J28" s="300"/>
      <c r="K28" s="300"/>
      <c r="L28" s="300"/>
      <c r="M28" s="300" t="s">
        <v>42</v>
      </c>
      <c r="N28" s="300" t="s">
        <v>47</v>
      </c>
      <c r="O28" s="300" t="s">
        <v>22</v>
      </c>
      <c r="P28" s="286" t="s">
        <v>278</v>
      </c>
      <c r="Q28" s="302">
        <v>6502054</v>
      </c>
      <c r="R28" s="302">
        <v>0</v>
      </c>
      <c r="S28" s="302">
        <v>0</v>
      </c>
      <c r="T28" s="302">
        <v>6502054</v>
      </c>
      <c r="U28" s="302">
        <v>0</v>
      </c>
      <c r="V28" s="302">
        <v>6502054</v>
      </c>
      <c r="W28" s="302">
        <v>0</v>
      </c>
      <c r="X28" s="302">
        <v>3331788.26</v>
      </c>
      <c r="Y28" s="302">
        <v>702000.51</v>
      </c>
      <c r="Z28" s="302">
        <v>702000.51</v>
      </c>
      <c r="AA28" s="302">
        <v>702000.51</v>
      </c>
      <c r="AB28" s="302">
        <f t="shared" si="0"/>
        <v>3170265.74</v>
      </c>
    </row>
    <row r="29" spans="1:28" hidden="1" x14ac:dyDescent="0.3">
      <c r="A29" s="300" t="s">
        <v>45</v>
      </c>
      <c r="B29" s="286" t="s">
        <v>232</v>
      </c>
      <c r="C29" s="301" t="s">
        <v>279</v>
      </c>
      <c r="D29" s="300" t="s">
        <v>49</v>
      </c>
      <c r="E29" s="300" t="s">
        <v>83</v>
      </c>
      <c r="F29" s="300" t="s">
        <v>83</v>
      </c>
      <c r="G29" s="300" t="s">
        <v>67</v>
      </c>
      <c r="H29" s="300" t="s">
        <v>84</v>
      </c>
      <c r="I29" s="300" t="s">
        <v>75</v>
      </c>
      <c r="J29" s="300"/>
      <c r="K29" s="300"/>
      <c r="L29" s="300"/>
      <c r="M29" s="300" t="s">
        <v>42</v>
      </c>
      <c r="N29" s="300" t="s">
        <v>47</v>
      </c>
      <c r="O29" s="300" t="s">
        <v>22</v>
      </c>
      <c r="P29" s="286" t="s">
        <v>280</v>
      </c>
      <c r="Q29" s="302">
        <v>488912</v>
      </c>
      <c r="R29" s="302">
        <v>0</v>
      </c>
      <c r="S29" s="302">
        <v>0</v>
      </c>
      <c r="T29" s="302">
        <v>488912</v>
      </c>
      <c r="U29" s="302">
        <v>0</v>
      </c>
      <c r="V29" s="302">
        <v>488912</v>
      </c>
      <c r="W29" s="302">
        <v>0</v>
      </c>
      <c r="X29" s="302">
        <v>250528.52</v>
      </c>
      <c r="Y29" s="302">
        <v>90344.02</v>
      </c>
      <c r="Z29" s="302">
        <v>90344.02</v>
      </c>
      <c r="AA29" s="302">
        <v>90344.02</v>
      </c>
      <c r="AB29" s="302">
        <f t="shared" si="0"/>
        <v>238383.48</v>
      </c>
    </row>
    <row r="30" spans="1:28" hidden="1" x14ac:dyDescent="0.3">
      <c r="A30" s="300" t="s">
        <v>45</v>
      </c>
      <c r="B30" s="286" t="s">
        <v>232</v>
      </c>
      <c r="C30" s="301" t="s">
        <v>281</v>
      </c>
      <c r="D30" s="300" t="s">
        <v>49</v>
      </c>
      <c r="E30" s="300" t="s">
        <v>83</v>
      </c>
      <c r="F30" s="300" t="s">
        <v>83</v>
      </c>
      <c r="G30" s="300" t="s">
        <v>67</v>
      </c>
      <c r="H30" s="300" t="s">
        <v>73</v>
      </c>
      <c r="I30" s="300" t="s">
        <v>70</v>
      </c>
      <c r="J30" s="300"/>
      <c r="K30" s="300"/>
      <c r="L30" s="300"/>
      <c r="M30" s="300" t="s">
        <v>42</v>
      </c>
      <c r="N30" s="300" t="s">
        <v>47</v>
      </c>
      <c r="O30" s="300" t="s">
        <v>22</v>
      </c>
      <c r="P30" s="286" t="s">
        <v>282</v>
      </c>
      <c r="Q30" s="302">
        <v>288997</v>
      </c>
      <c r="R30" s="302">
        <v>0</v>
      </c>
      <c r="S30" s="302">
        <v>0</v>
      </c>
      <c r="T30" s="302">
        <v>288997</v>
      </c>
      <c r="U30" s="302">
        <v>0</v>
      </c>
      <c r="V30" s="302">
        <v>288997</v>
      </c>
      <c r="W30" s="302">
        <v>0</v>
      </c>
      <c r="X30" s="302">
        <v>148087.96</v>
      </c>
      <c r="Y30" s="302">
        <v>30080.400000000001</v>
      </c>
      <c r="Z30" s="302">
        <v>30080.400000000001</v>
      </c>
      <c r="AA30" s="302">
        <v>30080.400000000001</v>
      </c>
      <c r="AB30" s="302">
        <f t="shared" si="0"/>
        <v>140909.04</v>
      </c>
    </row>
    <row r="31" spans="1:28" hidden="1" x14ac:dyDescent="0.3">
      <c r="A31" s="300" t="s">
        <v>45</v>
      </c>
      <c r="B31" s="286" t="s">
        <v>232</v>
      </c>
      <c r="C31" s="301" t="s">
        <v>234</v>
      </c>
      <c r="D31" s="300" t="s">
        <v>49</v>
      </c>
      <c r="E31" s="300" t="s">
        <v>83</v>
      </c>
      <c r="F31" s="300" t="s">
        <v>83</v>
      </c>
      <c r="G31" s="300" t="s">
        <v>67</v>
      </c>
      <c r="H31" s="300" t="s">
        <v>73</v>
      </c>
      <c r="I31" s="300" t="s">
        <v>84</v>
      </c>
      <c r="J31" s="300"/>
      <c r="K31" s="300"/>
      <c r="L31" s="300"/>
      <c r="M31" s="300" t="s">
        <v>42</v>
      </c>
      <c r="N31" s="300" t="s">
        <v>47</v>
      </c>
      <c r="O31" s="300" t="s">
        <v>22</v>
      </c>
      <c r="P31" s="286" t="s">
        <v>254</v>
      </c>
      <c r="Q31" s="302">
        <v>13708511</v>
      </c>
      <c r="R31" s="302">
        <v>0</v>
      </c>
      <c r="S31" s="302">
        <v>0</v>
      </c>
      <c r="T31" s="302">
        <v>13708511</v>
      </c>
      <c r="U31" s="302">
        <v>0</v>
      </c>
      <c r="V31" s="302">
        <v>13708511</v>
      </c>
      <c r="W31" s="302">
        <v>0</v>
      </c>
      <c r="X31" s="302">
        <v>7024526.9500000002</v>
      </c>
      <c r="Y31" s="302">
        <v>2526324.61</v>
      </c>
      <c r="Z31" s="302">
        <v>2526324.61</v>
      </c>
      <c r="AA31" s="302">
        <v>2526324.61</v>
      </c>
      <c r="AB31" s="302">
        <f t="shared" si="0"/>
        <v>6683984.0499999998</v>
      </c>
    </row>
    <row r="32" spans="1:28" hidden="1" x14ac:dyDescent="0.3">
      <c r="A32" s="300" t="s">
        <v>45</v>
      </c>
      <c r="B32" s="286" t="s">
        <v>232</v>
      </c>
      <c r="C32" s="301" t="s">
        <v>274</v>
      </c>
      <c r="D32" s="300" t="s">
        <v>49</v>
      </c>
      <c r="E32" s="300" t="s">
        <v>83</v>
      </c>
      <c r="F32" s="300" t="s">
        <v>83</v>
      </c>
      <c r="G32" s="300" t="s">
        <v>67</v>
      </c>
      <c r="H32" s="300" t="s">
        <v>73</v>
      </c>
      <c r="I32" s="300" t="s">
        <v>73</v>
      </c>
      <c r="J32" s="300"/>
      <c r="K32" s="300"/>
      <c r="L32" s="300"/>
      <c r="M32" s="300" t="s">
        <v>42</v>
      </c>
      <c r="N32" s="300" t="s">
        <v>47</v>
      </c>
      <c r="O32" s="300" t="s">
        <v>22</v>
      </c>
      <c r="P32" s="286" t="s">
        <v>275</v>
      </c>
      <c r="Q32" s="302">
        <v>8542778</v>
      </c>
      <c r="R32" s="302">
        <v>15085556</v>
      </c>
      <c r="S32" s="302">
        <v>22628334</v>
      </c>
      <c r="T32" s="302">
        <v>1000000</v>
      </c>
      <c r="U32" s="302">
        <v>0</v>
      </c>
      <c r="V32" s="302">
        <v>1000000</v>
      </c>
      <c r="W32" s="302">
        <v>0</v>
      </c>
      <c r="X32" s="302">
        <v>500000</v>
      </c>
      <c r="Y32" s="302">
        <v>500000</v>
      </c>
      <c r="Z32" s="302">
        <v>500000</v>
      </c>
      <c r="AA32" s="302">
        <v>500000</v>
      </c>
      <c r="AB32" s="302">
        <f t="shared" si="0"/>
        <v>500000</v>
      </c>
    </row>
    <row r="33" spans="1:28" hidden="1" x14ac:dyDescent="0.3">
      <c r="A33" s="300" t="s">
        <v>45</v>
      </c>
      <c r="B33" s="286" t="s">
        <v>232</v>
      </c>
      <c r="C33" s="301" t="s">
        <v>283</v>
      </c>
      <c r="D33" s="300" t="s">
        <v>49</v>
      </c>
      <c r="E33" s="300" t="s">
        <v>83</v>
      </c>
      <c r="F33" s="300" t="s">
        <v>83</v>
      </c>
      <c r="G33" s="300" t="s">
        <v>67</v>
      </c>
      <c r="H33" s="300" t="s">
        <v>73</v>
      </c>
      <c r="I33" s="300" t="s">
        <v>85</v>
      </c>
      <c r="J33" s="300"/>
      <c r="K33" s="300"/>
      <c r="L33" s="300"/>
      <c r="M33" s="300" t="s">
        <v>42</v>
      </c>
      <c r="N33" s="300" t="s">
        <v>47</v>
      </c>
      <c r="O33" s="300" t="s">
        <v>22</v>
      </c>
      <c r="P33" s="286" t="s">
        <v>284</v>
      </c>
      <c r="Q33" s="302">
        <v>529754</v>
      </c>
      <c r="R33" s="302">
        <v>0</v>
      </c>
      <c r="S33" s="302">
        <v>0</v>
      </c>
      <c r="T33" s="302">
        <v>529754</v>
      </c>
      <c r="U33" s="302">
        <v>0</v>
      </c>
      <c r="V33" s="302">
        <v>529754</v>
      </c>
      <c r="W33" s="302">
        <v>0</v>
      </c>
      <c r="X33" s="302">
        <v>271457.03999999998</v>
      </c>
      <c r="Y33" s="302">
        <v>0</v>
      </c>
      <c r="Z33" s="302">
        <v>0</v>
      </c>
      <c r="AA33" s="302">
        <v>0</v>
      </c>
      <c r="AB33" s="302">
        <f t="shared" si="0"/>
        <v>258296.96000000002</v>
      </c>
    </row>
    <row r="34" spans="1:28" hidden="1" x14ac:dyDescent="0.3">
      <c r="A34" s="300" t="s">
        <v>45</v>
      </c>
      <c r="B34" s="286" t="s">
        <v>232</v>
      </c>
      <c r="C34" s="301" t="s">
        <v>187</v>
      </c>
      <c r="D34" s="300" t="s">
        <v>49</v>
      </c>
      <c r="E34" s="300" t="s">
        <v>83</v>
      </c>
      <c r="F34" s="300" t="s">
        <v>83</v>
      </c>
      <c r="G34" s="300" t="s">
        <v>67</v>
      </c>
      <c r="H34" s="300" t="s">
        <v>73</v>
      </c>
      <c r="I34" s="300" t="s">
        <v>86</v>
      </c>
      <c r="J34" s="300"/>
      <c r="K34" s="300"/>
      <c r="L34" s="300"/>
      <c r="M34" s="300" t="s">
        <v>42</v>
      </c>
      <c r="N34" s="300" t="s">
        <v>47</v>
      </c>
      <c r="O34" s="300" t="s">
        <v>22</v>
      </c>
      <c r="P34" s="286" t="s">
        <v>188</v>
      </c>
      <c r="Q34" s="302">
        <v>9812281</v>
      </c>
      <c r="R34" s="302">
        <v>0</v>
      </c>
      <c r="S34" s="302">
        <v>0</v>
      </c>
      <c r="T34" s="302">
        <v>9812281</v>
      </c>
      <c r="U34" s="302">
        <v>0</v>
      </c>
      <c r="V34" s="302">
        <v>9812281</v>
      </c>
      <c r="W34" s="302">
        <v>0</v>
      </c>
      <c r="X34" s="302">
        <v>5028017.1399999997</v>
      </c>
      <c r="Y34" s="302">
        <v>1186818.75</v>
      </c>
      <c r="Z34" s="302">
        <v>1186818.75</v>
      </c>
      <c r="AA34" s="302">
        <v>1186818.75</v>
      </c>
      <c r="AB34" s="302">
        <f t="shared" si="0"/>
        <v>4784263.8600000003</v>
      </c>
    </row>
    <row r="35" spans="1:28" hidden="1" x14ac:dyDescent="0.3">
      <c r="A35" s="300" t="s">
        <v>45</v>
      </c>
      <c r="B35" s="286" t="s">
        <v>232</v>
      </c>
      <c r="C35" s="301" t="s">
        <v>189</v>
      </c>
      <c r="D35" s="300" t="s">
        <v>49</v>
      </c>
      <c r="E35" s="300" t="s">
        <v>83</v>
      </c>
      <c r="F35" s="300" t="s">
        <v>83</v>
      </c>
      <c r="G35" s="300" t="s">
        <v>67</v>
      </c>
      <c r="H35" s="300" t="s">
        <v>73</v>
      </c>
      <c r="I35" s="300" t="s">
        <v>74</v>
      </c>
      <c r="J35" s="300"/>
      <c r="K35" s="300"/>
      <c r="L35" s="300"/>
      <c r="M35" s="300" t="s">
        <v>42</v>
      </c>
      <c r="N35" s="300" t="s">
        <v>47</v>
      </c>
      <c r="O35" s="300" t="s">
        <v>22</v>
      </c>
      <c r="P35" s="286" t="s">
        <v>190</v>
      </c>
      <c r="Q35" s="302">
        <v>3368082</v>
      </c>
      <c r="R35" s="302">
        <v>3307151</v>
      </c>
      <c r="S35" s="302">
        <v>545496</v>
      </c>
      <c r="T35" s="302">
        <v>6129737</v>
      </c>
      <c r="U35" s="302">
        <v>0</v>
      </c>
      <c r="V35" s="302">
        <v>6129737</v>
      </c>
      <c r="W35" s="302">
        <v>0</v>
      </c>
      <c r="X35" s="302">
        <v>1725874.5</v>
      </c>
      <c r="Y35" s="302">
        <v>366034.36</v>
      </c>
      <c r="Z35" s="302">
        <v>366034.36</v>
      </c>
      <c r="AA35" s="302">
        <v>366034.36</v>
      </c>
      <c r="AB35" s="302">
        <f t="shared" si="0"/>
        <v>4403862.5</v>
      </c>
    </row>
    <row r="36" spans="1:28" hidden="1" x14ac:dyDescent="0.3">
      <c r="A36" s="300" t="s">
        <v>45</v>
      </c>
      <c r="B36" s="286" t="s">
        <v>232</v>
      </c>
      <c r="C36" s="301" t="s">
        <v>285</v>
      </c>
      <c r="D36" s="300" t="s">
        <v>49</v>
      </c>
      <c r="E36" s="300" t="s">
        <v>83</v>
      </c>
      <c r="F36" s="300" t="s">
        <v>83</v>
      </c>
      <c r="G36" s="300" t="s">
        <v>67</v>
      </c>
      <c r="H36" s="300" t="s">
        <v>73</v>
      </c>
      <c r="I36" s="300" t="s">
        <v>76</v>
      </c>
      <c r="J36" s="300"/>
      <c r="K36" s="300"/>
      <c r="L36" s="300"/>
      <c r="M36" s="300" t="s">
        <v>42</v>
      </c>
      <c r="N36" s="300" t="s">
        <v>47</v>
      </c>
      <c r="O36" s="300" t="s">
        <v>22</v>
      </c>
      <c r="P36" s="286" t="s">
        <v>286</v>
      </c>
      <c r="Q36" s="302">
        <v>521536</v>
      </c>
      <c r="R36" s="302">
        <v>0</v>
      </c>
      <c r="S36" s="302">
        <v>0</v>
      </c>
      <c r="T36" s="302">
        <v>521536</v>
      </c>
      <c r="U36" s="302">
        <v>0</v>
      </c>
      <c r="V36" s="302">
        <v>521536</v>
      </c>
      <c r="W36" s="302">
        <v>0</v>
      </c>
      <c r="X36" s="302">
        <v>267245.89</v>
      </c>
      <c r="Y36" s="302">
        <v>61191.56</v>
      </c>
      <c r="Z36" s="302">
        <v>61191.56</v>
      </c>
      <c r="AA36" s="302">
        <v>61191.56</v>
      </c>
      <c r="AB36" s="302">
        <f t="shared" si="0"/>
        <v>254290.11</v>
      </c>
    </row>
    <row r="37" spans="1:28" hidden="1" x14ac:dyDescent="0.3">
      <c r="A37" s="300" t="s">
        <v>45</v>
      </c>
      <c r="B37" s="286" t="s">
        <v>232</v>
      </c>
      <c r="C37" s="301" t="s">
        <v>191</v>
      </c>
      <c r="D37" s="300" t="s">
        <v>49</v>
      </c>
      <c r="E37" s="300" t="s">
        <v>83</v>
      </c>
      <c r="F37" s="300" t="s">
        <v>83</v>
      </c>
      <c r="G37" s="300" t="s">
        <v>67</v>
      </c>
      <c r="H37" s="300" t="s">
        <v>85</v>
      </c>
      <c r="I37" s="300" t="s">
        <v>84</v>
      </c>
      <c r="J37" s="300"/>
      <c r="K37" s="300"/>
      <c r="L37" s="300"/>
      <c r="M37" s="300" t="s">
        <v>42</v>
      </c>
      <c r="N37" s="300" t="s">
        <v>47</v>
      </c>
      <c r="O37" s="300" t="s">
        <v>22</v>
      </c>
      <c r="P37" s="286" t="s">
        <v>192</v>
      </c>
      <c r="Q37" s="302">
        <v>113724</v>
      </c>
      <c r="R37" s="302">
        <v>0</v>
      </c>
      <c r="S37" s="302">
        <v>0</v>
      </c>
      <c r="T37" s="302">
        <v>113724</v>
      </c>
      <c r="U37" s="302">
        <v>0</v>
      </c>
      <c r="V37" s="302">
        <v>113724</v>
      </c>
      <c r="W37" s="302">
        <v>0</v>
      </c>
      <c r="X37" s="302">
        <v>0</v>
      </c>
      <c r="Y37" s="302">
        <v>0</v>
      </c>
      <c r="Z37" s="302">
        <v>0</v>
      </c>
      <c r="AA37" s="302">
        <v>0</v>
      </c>
      <c r="AB37" s="302">
        <f t="shared" si="0"/>
        <v>113724</v>
      </c>
    </row>
    <row r="38" spans="1:28" hidden="1" x14ac:dyDescent="0.3">
      <c r="A38" s="300" t="s">
        <v>45</v>
      </c>
      <c r="B38" s="286" t="s">
        <v>232</v>
      </c>
      <c r="C38" s="301" t="s">
        <v>236</v>
      </c>
      <c r="D38" s="300" t="s">
        <v>49</v>
      </c>
      <c r="E38" s="300" t="s">
        <v>83</v>
      </c>
      <c r="F38" s="300" t="s">
        <v>83</v>
      </c>
      <c r="G38" s="300" t="s">
        <v>67</v>
      </c>
      <c r="H38" s="300" t="s">
        <v>85</v>
      </c>
      <c r="I38" s="300" t="s">
        <v>74</v>
      </c>
      <c r="J38" s="300"/>
      <c r="K38" s="300"/>
      <c r="L38" s="300"/>
      <c r="M38" s="300" t="s">
        <v>42</v>
      </c>
      <c r="N38" s="300" t="s">
        <v>47</v>
      </c>
      <c r="O38" s="300" t="s">
        <v>22</v>
      </c>
      <c r="P38" s="286" t="s">
        <v>237</v>
      </c>
      <c r="Q38" s="302">
        <v>127940</v>
      </c>
      <c r="R38" s="302">
        <v>0</v>
      </c>
      <c r="S38" s="302">
        <v>0</v>
      </c>
      <c r="T38" s="302">
        <v>127940</v>
      </c>
      <c r="U38" s="302">
        <v>0</v>
      </c>
      <c r="V38" s="302">
        <v>127940</v>
      </c>
      <c r="W38" s="302">
        <v>0</v>
      </c>
      <c r="X38" s="302">
        <v>0</v>
      </c>
      <c r="Y38" s="302">
        <v>0</v>
      </c>
      <c r="Z38" s="302">
        <v>0</v>
      </c>
      <c r="AA38" s="302">
        <v>0</v>
      </c>
      <c r="AB38" s="302">
        <f t="shared" si="0"/>
        <v>127940</v>
      </c>
    </row>
    <row r="39" spans="1:28" hidden="1" x14ac:dyDescent="0.3">
      <c r="A39" s="300" t="s">
        <v>45</v>
      </c>
      <c r="B39" s="286" t="s">
        <v>232</v>
      </c>
      <c r="C39" s="301" t="s">
        <v>158</v>
      </c>
      <c r="D39" s="300" t="s">
        <v>49</v>
      </c>
      <c r="E39" s="300" t="s">
        <v>83</v>
      </c>
      <c r="F39" s="300" t="s">
        <v>83</v>
      </c>
      <c r="G39" s="300" t="s">
        <v>67</v>
      </c>
      <c r="H39" s="300" t="s">
        <v>85</v>
      </c>
      <c r="I39" s="300" t="s">
        <v>75</v>
      </c>
      <c r="J39" s="300"/>
      <c r="K39" s="300"/>
      <c r="L39" s="300"/>
      <c r="M39" s="300" t="s">
        <v>42</v>
      </c>
      <c r="N39" s="300" t="s">
        <v>47</v>
      </c>
      <c r="O39" s="300" t="s">
        <v>22</v>
      </c>
      <c r="P39" s="286" t="s">
        <v>159</v>
      </c>
      <c r="Q39" s="302">
        <v>1053000</v>
      </c>
      <c r="R39" s="302">
        <v>154410416</v>
      </c>
      <c r="S39" s="302">
        <v>33492316</v>
      </c>
      <c r="T39" s="302">
        <v>121971100</v>
      </c>
      <c r="U39" s="302">
        <v>0</v>
      </c>
      <c r="V39" s="302">
        <v>121971100</v>
      </c>
      <c r="W39" s="302">
        <v>0</v>
      </c>
      <c r="X39" s="302">
        <v>65433380</v>
      </c>
      <c r="Y39" s="302">
        <v>883100</v>
      </c>
      <c r="Z39" s="302">
        <v>883100</v>
      </c>
      <c r="AA39" s="302">
        <v>883100</v>
      </c>
      <c r="AB39" s="302">
        <f t="shared" si="0"/>
        <v>56537720</v>
      </c>
    </row>
    <row r="40" spans="1:28" hidden="1" x14ac:dyDescent="0.3">
      <c r="A40" s="300" t="s">
        <v>45</v>
      </c>
      <c r="B40" s="286" t="s">
        <v>232</v>
      </c>
      <c r="C40" s="301" t="s">
        <v>211</v>
      </c>
      <c r="D40" s="300" t="s">
        <v>49</v>
      </c>
      <c r="E40" s="300" t="s">
        <v>83</v>
      </c>
      <c r="F40" s="300" t="s">
        <v>83</v>
      </c>
      <c r="G40" s="300" t="s">
        <v>67</v>
      </c>
      <c r="H40" s="300" t="s">
        <v>85</v>
      </c>
      <c r="I40" s="300" t="s">
        <v>76</v>
      </c>
      <c r="J40" s="300"/>
      <c r="K40" s="300"/>
      <c r="L40" s="300"/>
      <c r="M40" s="300" t="s">
        <v>42</v>
      </c>
      <c r="N40" s="300" t="s">
        <v>47</v>
      </c>
      <c r="O40" s="300" t="s">
        <v>22</v>
      </c>
      <c r="P40" s="286" t="s">
        <v>212</v>
      </c>
      <c r="Q40" s="302">
        <v>486200</v>
      </c>
      <c r="R40" s="302">
        <v>0</v>
      </c>
      <c r="S40" s="302">
        <v>0</v>
      </c>
      <c r="T40" s="302">
        <v>486200</v>
      </c>
      <c r="U40" s="302">
        <v>0</v>
      </c>
      <c r="V40" s="302">
        <v>486200</v>
      </c>
      <c r="W40" s="302">
        <v>0</v>
      </c>
      <c r="X40" s="302">
        <v>0</v>
      </c>
      <c r="Y40" s="302">
        <v>0</v>
      </c>
      <c r="Z40" s="302">
        <v>0</v>
      </c>
      <c r="AA40" s="302">
        <v>0</v>
      </c>
      <c r="AB40" s="302">
        <f t="shared" si="0"/>
        <v>486200</v>
      </c>
    </row>
    <row r="41" spans="1:28" hidden="1" x14ac:dyDescent="0.3">
      <c r="A41" s="300" t="s">
        <v>45</v>
      </c>
      <c r="B41" s="286" t="s">
        <v>232</v>
      </c>
      <c r="C41" s="301" t="s">
        <v>160</v>
      </c>
      <c r="D41" s="300" t="s">
        <v>49</v>
      </c>
      <c r="E41" s="300" t="s">
        <v>83</v>
      </c>
      <c r="F41" s="300" t="s">
        <v>83</v>
      </c>
      <c r="G41" s="300" t="s">
        <v>83</v>
      </c>
      <c r="H41" s="300" t="s">
        <v>74</v>
      </c>
      <c r="I41" s="300" t="s">
        <v>73</v>
      </c>
      <c r="J41" s="300"/>
      <c r="K41" s="300"/>
      <c r="L41" s="300"/>
      <c r="M41" s="300" t="s">
        <v>42</v>
      </c>
      <c r="N41" s="300" t="s">
        <v>47</v>
      </c>
      <c r="O41" s="300" t="s">
        <v>22</v>
      </c>
      <c r="P41" s="286" t="s">
        <v>161</v>
      </c>
      <c r="Q41" s="302">
        <v>39971405</v>
      </c>
      <c r="R41" s="302">
        <v>0</v>
      </c>
      <c r="S41" s="302">
        <v>0</v>
      </c>
      <c r="T41" s="302">
        <v>39971405</v>
      </c>
      <c r="U41" s="302">
        <v>0</v>
      </c>
      <c r="V41" s="302">
        <v>39971405</v>
      </c>
      <c r="W41" s="302">
        <v>0</v>
      </c>
      <c r="X41" s="302">
        <v>20482181.210000001</v>
      </c>
      <c r="Y41" s="302">
        <v>5341748.58</v>
      </c>
      <c r="Z41" s="302">
        <v>5341748.58</v>
      </c>
      <c r="AA41" s="302">
        <v>5341748.58</v>
      </c>
      <c r="AB41" s="302">
        <f t="shared" si="0"/>
        <v>19489223.789999999</v>
      </c>
    </row>
    <row r="42" spans="1:28" hidden="1" x14ac:dyDescent="0.3">
      <c r="A42" s="300" t="s">
        <v>45</v>
      </c>
      <c r="B42" s="286" t="s">
        <v>232</v>
      </c>
      <c r="C42" s="301" t="s">
        <v>162</v>
      </c>
      <c r="D42" s="300" t="s">
        <v>49</v>
      </c>
      <c r="E42" s="300" t="s">
        <v>83</v>
      </c>
      <c r="F42" s="300" t="s">
        <v>83</v>
      </c>
      <c r="G42" s="300" t="s">
        <v>83</v>
      </c>
      <c r="H42" s="300" t="s">
        <v>74</v>
      </c>
      <c r="I42" s="300" t="s">
        <v>85</v>
      </c>
      <c r="J42" s="300"/>
      <c r="K42" s="300"/>
      <c r="L42" s="300"/>
      <c r="M42" s="300" t="s">
        <v>42</v>
      </c>
      <c r="N42" s="300" t="s">
        <v>47</v>
      </c>
      <c r="O42" s="300" t="s">
        <v>22</v>
      </c>
      <c r="P42" s="286" t="s">
        <v>163</v>
      </c>
      <c r="Q42" s="302">
        <v>239876891</v>
      </c>
      <c r="R42" s="302">
        <v>868790100</v>
      </c>
      <c r="S42" s="302">
        <v>228772351</v>
      </c>
      <c r="T42" s="302">
        <v>879894640</v>
      </c>
      <c r="U42" s="302">
        <v>0</v>
      </c>
      <c r="V42" s="302">
        <v>879894640</v>
      </c>
      <c r="W42" s="302">
        <v>0</v>
      </c>
      <c r="X42" s="302">
        <v>603457433.90999997</v>
      </c>
      <c r="Y42" s="302">
        <v>293565799</v>
      </c>
      <c r="Z42" s="302">
        <v>293565799</v>
      </c>
      <c r="AA42" s="302">
        <v>293565799</v>
      </c>
      <c r="AB42" s="302">
        <f t="shared" si="0"/>
        <v>276437206.09000003</v>
      </c>
    </row>
    <row r="43" spans="1:28" hidden="1" x14ac:dyDescent="0.3">
      <c r="A43" s="300" t="s">
        <v>45</v>
      </c>
      <c r="B43" s="286" t="s">
        <v>232</v>
      </c>
      <c r="C43" s="301" t="s">
        <v>164</v>
      </c>
      <c r="D43" s="300" t="s">
        <v>49</v>
      </c>
      <c r="E43" s="300" t="s">
        <v>83</v>
      </c>
      <c r="F43" s="300" t="s">
        <v>83</v>
      </c>
      <c r="G43" s="300" t="s">
        <v>83</v>
      </c>
      <c r="H43" s="300" t="s">
        <v>74</v>
      </c>
      <c r="I43" s="300" t="s">
        <v>76</v>
      </c>
      <c r="J43" s="300"/>
      <c r="K43" s="300"/>
      <c r="L43" s="300"/>
      <c r="M43" s="300" t="s">
        <v>42</v>
      </c>
      <c r="N43" s="300" t="s">
        <v>47</v>
      </c>
      <c r="O43" s="300" t="s">
        <v>22</v>
      </c>
      <c r="P43" s="286" t="s">
        <v>165</v>
      </c>
      <c r="Q43" s="302">
        <v>75551501</v>
      </c>
      <c r="R43" s="302">
        <v>7259319</v>
      </c>
      <c r="S43" s="302">
        <v>0</v>
      </c>
      <c r="T43" s="302">
        <v>82810820</v>
      </c>
      <c r="U43" s="302">
        <v>0</v>
      </c>
      <c r="V43" s="302">
        <v>82810820</v>
      </c>
      <c r="W43" s="302">
        <v>0</v>
      </c>
      <c r="X43" s="302">
        <v>75551501</v>
      </c>
      <c r="Y43" s="302">
        <v>28926001</v>
      </c>
      <c r="Z43" s="302">
        <v>28926001</v>
      </c>
      <c r="AA43" s="302">
        <v>28926001</v>
      </c>
      <c r="AB43" s="302">
        <f t="shared" si="0"/>
        <v>7259319</v>
      </c>
    </row>
    <row r="44" spans="1:28" hidden="1" x14ac:dyDescent="0.3">
      <c r="A44" s="300" t="s">
        <v>45</v>
      </c>
      <c r="B44" s="286" t="s">
        <v>232</v>
      </c>
      <c r="C44" s="301" t="s">
        <v>166</v>
      </c>
      <c r="D44" s="300" t="s">
        <v>49</v>
      </c>
      <c r="E44" s="300" t="s">
        <v>83</v>
      </c>
      <c r="F44" s="300" t="s">
        <v>83</v>
      </c>
      <c r="G44" s="300" t="s">
        <v>83</v>
      </c>
      <c r="H44" s="300" t="s">
        <v>74</v>
      </c>
      <c r="I44" s="300" t="s">
        <v>77</v>
      </c>
      <c r="J44" s="300"/>
      <c r="K44" s="300"/>
      <c r="L44" s="300"/>
      <c r="M44" s="300" t="s">
        <v>42</v>
      </c>
      <c r="N44" s="300" t="s">
        <v>47</v>
      </c>
      <c r="O44" s="300" t="s">
        <v>22</v>
      </c>
      <c r="P44" s="286" t="s">
        <v>167</v>
      </c>
      <c r="Q44" s="302">
        <v>158484569</v>
      </c>
      <c r="R44" s="302">
        <v>0</v>
      </c>
      <c r="S44" s="302">
        <v>0</v>
      </c>
      <c r="T44" s="302">
        <v>158484569</v>
      </c>
      <c r="U44" s="302">
        <v>0</v>
      </c>
      <c r="V44" s="302">
        <v>158484569</v>
      </c>
      <c r="W44" s="302">
        <v>0</v>
      </c>
      <c r="X44" s="302">
        <v>60620940</v>
      </c>
      <c r="Y44" s="302">
        <v>60620940</v>
      </c>
      <c r="Z44" s="302">
        <v>60620940</v>
      </c>
      <c r="AA44" s="302">
        <v>60620940</v>
      </c>
      <c r="AB44" s="302">
        <f t="shared" si="0"/>
        <v>97863629</v>
      </c>
    </row>
    <row r="45" spans="1:28" hidden="1" x14ac:dyDescent="0.3">
      <c r="A45" s="300" t="s">
        <v>45</v>
      </c>
      <c r="B45" s="286" t="s">
        <v>232</v>
      </c>
      <c r="C45" s="301" t="s">
        <v>193</v>
      </c>
      <c r="D45" s="300" t="s">
        <v>49</v>
      </c>
      <c r="E45" s="300" t="s">
        <v>83</v>
      </c>
      <c r="F45" s="300" t="s">
        <v>83</v>
      </c>
      <c r="G45" s="300" t="s">
        <v>83</v>
      </c>
      <c r="H45" s="300" t="s">
        <v>75</v>
      </c>
      <c r="I45" s="300" t="s">
        <v>70</v>
      </c>
      <c r="J45" s="300"/>
      <c r="K45" s="300"/>
      <c r="L45" s="300"/>
      <c r="M45" s="300" t="s">
        <v>42</v>
      </c>
      <c r="N45" s="300" t="s">
        <v>47</v>
      </c>
      <c r="O45" s="300" t="s">
        <v>22</v>
      </c>
      <c r="P45" s="286" t="s">
        <v>194</v>
      </c>
      <c r="Q45" s="302">
        <v>5000000</v>
      </c>
      <c r="R45" s="302">
        <v>121244813</v>
      </c>
      <c r="S45" s="302">
        <v>0</v>
      </c>
      <c r="T45" s="302">
        <v>126244813</v>
      </c>
      <c r="U45" s="302">
        <v>0</v>
      </c>
      <c r="V45" s="302">
        <v>126244813</v>
      </c>
      <c r="W45" s="302">
        <v>0</v>
      </c>
      <c r="X45" s="302">
        <v>5000000</v>
      </c>
      <c r="Y45" s="302">
        <v>134982</v>
      </c>
      <c r="Z45" s="302">
        <v>134982</v>
      </c>
      <c r="AA45" s="302">
        <v>134982</v>
      </c>
      <c r="AB45" s="302">
        <f t="shared" si="0"/>
        <v>121244813</v>
      </c>
    </row>
    <row r="46" spans="1:28" hidden="1" x14ac:dyDescent="0.3">
      <c r="A46" s="300" t="s">
        <v>45</v>
      </c>
      <c r="B46" s="286" t="s">
        <v>232</v>
      </c>
      <c r="C46" s="301" t="s">
        <v>168</v>
      </c>
      <c r="D46" s="300" t="s">
        <v>49</v>
      </c>
      <c r="E46" s="300" t="s">
        <v>83</v>
      </c>
      <c r="F46" s="300" t="s">
        <v>83</v>
      </c>
      <c r="G46" s="300" t="s">
        <v>83</v>
      </c>
      <c r="H46" s="300" t="s">
        <v>75</v>
      </c>
      <c r="I46" s="300" t="s">
        <v>84</v>
      </c>
      <c r="J46" s="300"/>
      <c r="K46" s="300"/>
      <c r="L46" s="300"/>
      <c r="M46" s="300" t="s">
        <v>42</v>
      </c>
      <c r="N46" s="300" t="s">
        <v>47</v>
      </c>
      <c r="O46" s="300" t="s">
        <v>22</v>
      </c>
      <c r="P46" s="286" t="s">
        <v>169</v>
      </c>
      <c r="Q46" s="302">
        <v>2659947026</v>
      </c>
      <c r="R46" s="302">
        <v>946816781</v>
      </c>
      <c r="S46" s="302">
        <v>473609180</v>
      </c>
      <c r="T46" s="302">
        <v>3133154627</v>
      </c>
      <c r="U46" s="302">
        <v>0</v>
      </c>
      <c r="V46" s="302">
        <v>3133154627</v>
      </c>
      <c r="W46" s="302">
        <v>0</v>
      </c>
      <c r="X46" s="302">
        <v>2659947026</v>
      </c>
      <c r="Y46" s="302">
        <v>1209066830</v>
      </c>
      <c r="Z46" s="302">
        <v>1209066830</v>
      </c>
      <c r="AA46" s="302">
        <v>1209066830</v>
      </c>
      <c r="AB46" s="302">
        <f t="shared" si="0"/>
        <v>473207601</v>
      </c>
    </row>
    <row r="47" spans="1:28" hidden="1" x14ac:dyDescent="0.3">
      <c r="A47" s="300" t="s">
        <v>45</v>
      </c>
      <c r="B47" s="286" t="s">
        <v>232</v>
      </c>
      <c r="C47" s="301" t="s">
        <v>170</v>
      </c>
      <c r="D47" s="300" t="s">
        <v>49</v>
      </c>
      <c r="E47" s="300" t="s">
        <v>83</v>
      </c>
      <c r="F47" s="300" t="s">
        <v>83</v>
      </c>
      <c r="G47" s="300" t="s">
        <v>83</v>
      </c>
      <c r="H47" s="300" t="s">
        <v>75</v>
      </c>
      <c r="I47" s="300" t="s">
        <v>73</v>
      </c>
      <c r="J47" s="300"/>
      <c r="K47" s="300"/>
      <c r="L47" s="300"/>
      <c r="M47" s="300" t="s">
        <v>42</v>
      </c>
      <c r="N47" s="300" t="s">
        <v>47</v>
      </c>
      <c r="O47" s="300" t="s">
        <v>22</v>
      </c>
      <c r="P47" s="286" t="s">
        <v>171</v>
      </c>
      <c r="Q47" s="302">
        <v>82484454</v>
      </c>
      <c r="R47" s="302">
        <v>18867113</v>
      </c>
      <c r="S47" s="302">
        <v>0</v>
      </c>
      <c r="T47" s="302">
        <v>101351567</v>
      </c>
      <c r="U47" s="302">
        <v>0</v>
      </c>
      <c r="V47" s="302">
        <v>101351567</v>
      </c>
      <c r="W47" s="302">
        <v>0</v>
      </c>
      <c r="X47" s="302">
        <v>99225604.840000004</v>
      </c>
      <c r="Y47" s="302">
        <v>35437584.560000002</v>
      </c>
      <c r="Z47" s="302">
        <v>35437584.560000002</v>
      </c>
      <c r="AA47" s="302">
        <v>35437584.560000002</v>
      </c>
      <c r="AB47" s="302">
        <f t="shared" si="0"/>
        <v>2125962.1599999964</v>
      </c>
    </row>
    <row r="48" spans="1:28" hidden="1" x14ac:dyDescent="0.3">
      <c r="A48" s="300" t="s">
        <v>45</v>
      </c>
      <c r="B48" s="286" t="s">
        <v>232</v>
      </c>
      <c r="C48" s="301" t="s">
        <v>172</v>
      </c>
      <c r="D48" s="300" t="s">
        <v>49</v>
      </c>
      <c r="E48" s="300" t="s">
        <v>83</v>
      </c>
      <c r="F48" s="300" t="s">
        <v>83</v>
      </c>
      <c r="G48" s="300" t="s">
        <v>83</v>
      </c>
      <c r="H48" s="300" t="s">
        <v>76</v>
      </c>
      <c r="I48" s="300" t="s">
        <v>84</v>
      </c>
      <c r="J48" s="300"/>
      <c r="K48" s="300"/>
      <c r="L48" s="300"/>
      <c r="M48" s="300" t="s">
        <v>42</v>
      </c>
      <c r="N48" s="300" t="s">
        <v>47</v>
      </c>
      <c r="O48" s="300" t="s">
        <v>22</v>
      </c>
      <c r="P48" s="286" t="s">
        <v>173</v>
      </c>
      <c r="Q48" s="302">
        <v>4744675219</v>
      </c>
      <c r="R48" s="302">
        <v>1539294365</v>
      </c>
      <c r="S48" s="302">
        <v>0</v>
      </c>
      <c r="T48" s="302">
        <v>6283969584</v>
      </c>
      <c r="U48" s="302">
        <v>0</v>
      </c>
      <c r="V48" s="302">
        <v>6283969584</v>
      </c>
      <c r="W48" s="302">
        <v>0</v>
      </c>
      <c r="X48" s="302">
        <v>5796898019.7299995</v>
      </c>
      <c r="Y48" s="302">
        <v>2098914531.4000001</v>
      </c>
      <c r="Z48" s="302">
        <v>2091914531.4000001</v>
      </c>
      <c r="AA48" s="302">
        <v>2076348265.4000001</v>
      </c>
      <c r="AB48" s="302">
        <f t="shared" si="0"/>
        <v>487071564.27000046</v>
      </c>
    </row>
    <row r="49" spans="1:28" hidden="1" x14ac:dyDescent="0.3">
      <c r="A49" s="300" t="s">
        <v>45</v>
      </c>
      <c r="B49" s="286" t="s">
        <v>232</v>
      </c>
      <c r="C49" s="301" t="s">
        <v>174</v>
      </c>
      <c r="D49" s="300" t="s">
        <v>49</v>
      </c>
      <c r="E49" s="300" t="s">
        <v>83</v>
      </c>
      <c r="F49" s="300" t="s">
        <v>83</v>
      </c>
      <c r="G49" s="300" t="s">
        <v>83</v>
      </c>
      <c r="H49" s="300" t="s">
        <v>76</v>
      </c>
      <c r="I49" s="300" t="s">
        <v>73</v>
      </c>
      <c r="J49" s="300"/>
      <c r="K49" s="300"/>
      <c r="L49" s="300"/>
      <c r="M49" s="300" t="s">
        <v>42</v>
      </c>
      <c r="N49" s="300" t="s">
        <v>47</v>
      </c>
      <c r="O49" s="300" t="s">
        <v>22</v>
      </c>
      <c r="P49" s="286" t="s">
        <v>255</v>
      </c>
      <c r="Q49" s="302">
        <v>3394553971</v>
      </c>
      <c r="R49" s="302">
        <v>1048174082</v>
      </c>
      <c r="S49" s="302">
        <v>10115788</v>
      </c>
      <c r="T49" s="302">
        <v>4432612265</v>
      </c>
      <c r="U49" s="302">
        <v>0</v>
      </c>
      <c r="V49" s="302">
        <v>4432612265</v>
      </c>
      <c r="W49" s="302">
        <v>0</v>
      </c>
      <c r="X49" s="302">
        <v>3444819528.3400002</v>
      </c>
      <c r="Y49" s="302">
        <v>931885034.39999998</v>
      </c>
      <c r="Z49" s="302">
        <v>927706784.39999998</v>
      </c>
      <c r="AA49" s="302">
        <v>927706784.39999998</v>
      </c>
      <c r="AB49" s="302">
        <f t="shared" si="0"/>
        <v>987792736.65999985</v>
      </c>
    </row>
    <row r="50" spans="1:28" hidden="1" x14ac:dyDescent="0.3">
      <c r="A50" s="300" t="s">
        <v>45</v>
      </c>
      <c r="B50" s="286" t="s">
        <v>232</v>
      </c>
      <c r="C50" s="301" t="s">
        <v>175</v>
      </c>
      <c r="D50" s="300" t="s">
        <v>49</v>
      </c>
      <c r="E50" s="300" t="s">
        <v>83</v>
      </c>
      <c r="F50" s="300" t="s">
        <v>83</v>
      </c>
      <c r="G50" s="300" t="s">
        <v>83</v>
      </c>
      <c r="H50" s="300" t="s">
        <v>76</v>
      </c>
      <c r="I50" s="300" t="s">
        <v>85</v>
      </c>
      <c r="J50" s="300"/>
      <c r="K50" s="300"/>
      <c r="L50" s="300"/>
      <c r="M50" s="300" t="s">
        <v>42</v>
      </c>
      <c r="N50" s="300" t="s">
        <v>47</v>
      </c>
      <c r="O50" s="300" t="s">
        <v>22</v>
      </c>
      <c r="P50" s="286" t="s">
        <v>176</v>
      </c>
      <c r="Q50" s="302">
        <v>214431235</v>
      </c>
      <c r="R50" s="302">
        <v>604764490</v>
      </c>
      <c r="S50" s="302">
        <v>117118199</v>
      </c>
      <c r="T50" s="302">
        <v>702077526</v>
      </c>
      <c r="U50" s="302">
        <v>0</v>
      </c>
      <c r="V50" s="302">
        <v>702077526</v>
      </c>
      <c r="W50" s="302">
        <v>0</v>
      </c>
      <c r="X50" s="302">
        <v>305171776.23000002</v>
      </c>
      <c r="Y50" s="302">
        <v>150425008.12</v>
      </c>
      <c r="Z50" s="302">
        <v>150425008.12</v>
      </c>
      <c r="AA50" s="302">
        <v>150425008.12</v>
      </c>
      <c r="AB50" s="302">
        <f t="shared" si="0"/>
        <v>396905749.76999998</v>
      </c>
    </row>
    <row r="51" spans="1:28" hidden="1" x14ac:dyDescent="0.3">
      <c r="A51" s="300" t="s">
        <v>45</v>
      </c>
      <c r="B51" s="286" t="s">
        <v>232</v>
      </c>
      <c r="C51" s="301" t="s">
        <v>177</v>
      </c>
      <c r="D51" s="300" t="s">
        <v>49</v>
      </c>
      <c r="E51" s="300" t="s">
        <v>83</v>
      </c>
      <c r="F51" s="300" t="s">
        <v>83</v>
      </c>
      <c r="G51" s="300" t="s">
        <v>83</v>
      </c>
      <c r="H51" s="300" t="s">
        <v>76</v>
      </c>
      <c r="I51" s="300" t="s">
        <v>86</v>
      </c>
      <c r="J51" s="300"/>
      <c r="K51" s="300"/>
      <c r="L51" s="300"/>
      <c r="M51" s="300" t="s">
        <v>42</v>
      </c>
      <c r="N51" s="300" t="s">
        <v>47</v>
      </c>
      <c r="O51" s="300" t="s">
        <v>22</v>
      </c>
      <c r="P51" s="286" t="s">
        <v>178</v>
      </c>
      <c r="Q51" s="302">
        <v>6496112920</v>
      </c>
      <c r="R51" s="302">
        <v>83475814</v>
      </c>
      <c r="S51" s="302">
        <v>4605753832</v>
      </c>
      <c r="T51" s="302">
        <v>1973834902</v>
      </c>
      <c r="U51" s="302">
        <v>0</v>
      </c>
      <c r="V51" s="302">
        <v>1973834902</v>
      </c>
      <c r="W51" s="302">
        <v>0</v>
      </c>
      <c r="X51" s="302">
        <v>1326487498.7</v>
      </c>
      <c r="Y51" s="302">
        <v>378135318.63</v>
      </c>
      <c r="Z51" s="302">
        <v>378135318.63</v>
      </c>
      <c r="AA51" s="302">
        <v>363655286.63</v>
      </c>
      <c r="AB51" s="302">
        <f t="shared" si="0"/>
        <v>647347403.29999995</v>
      </c>
    </row>
    <row r="52" spans="1:28" hidden="1" x14ac:dyDescent="0.3">
      <c r="A52" s="300" t="s">
        <v>45</v>
      </c>
      <c r="B52" s="286" t="s">
        <v>232</v>
      </c>
      <c r="C52" s="301" t="s">
        <v>179</v>
      </c>
      <c r="D52" s="300" t="s">
        <v>49</v>
      </c>
      <c r="E52" s="300" t="s">
        <v>83</v>
      </c>
      <c r="F52" s="300" t="s">
        <v>83</v>
      </c>
      <c r="G52" s="300" t="s">
        <v>83</v>
      </c>
      <c r="H52" s="300" t="s">
        <v>76</v>
      </c>
      <c r="I52" s="300" t="s">
        <v>75</v>
      </c>
      <c r="J52" s="300"/>
      <c r="K52" s="300"/>
      <c r="L52" s="300"/>
      <c r="M52" s="300" t="s">
        <v>42</v>
      </c>
      <c r="N52" s="300" t="s">
        <v>47</v>
      </c>
      <c r="O52" s="300" t="s">
        <v>22</v>
      </c>
      <c r="P52" s="286" t="s">
        <v>180</v>
      </c>
      <c r="Q52" s="302">
        <v>928200</v>
      </c>
      <c r="R52" s="302">
        <v>545496</v>
      </c>
      <c r="S52" s="302">
        <v>0</v>
      </c>
      <c r="T52" s="302">
        <v>1473696</v>
      </c>
      <c r="U52" s="302">
        <v>0</v>
      </c>
      <c r="V52" s="302">
        <v>1473696</v>
      </c>
      <c r="W52" s="302">
        <v>0</v>
      </c>
      <c r="X52" s="302">
        <v>0</v>
      </c>
      <c r="Y52" s="302">
        <v>0</v>
      </c>
      <c r="Z52" s="302">
        <v>0</v>
      </c>
      <c r="AA52" s="302">
        <v>0</v>
      </c>
      <c r="AB52" s="302">
        <f t="shared" si="0"/>
        <v>1473696</v>
      </c>
    </row>
    <row r="53" spans="1:28" hidden="1" x14ac:dyDescent="0.3">
      <c r="A53" s="300" t="s">
        <v>45</v>
      </c>
      <c r="B53" s="286" t="s">
        <v>232</v>
      </c>
      <c r="C53" s="301" t="s">
        <v>181</v>
      </c>
      <c r="D53" s="300" t="s">
        <v>49</v>
      </c>
      <c r="E53" s="300" t="s">
        <v>83</v>
      </c>
      <c r="F53" s="300" t="s">
        <v>83</v>
      </c>
      <c r="G53" s="300" t="s">
        <v>83</v>
      </c>
      <c r="H53" s="300" t="s">
        <v>76</v>
      </c>
      <c r="I53" s="300" t="s">
        <v>77</v>
      </c>
      <c r="J53" s="300"/>
      <c r="K53" s="300"/>
      <c r="L53" s="300"/>
      <c r="M53" s="300" t="s">
        <v>42</v>
      </c>
      <c r="N53" s="300" t="s">
        <v>47</v>
      </c>
      <c r="O53" s="300" t="s">
        <v>22</v>
      </c>
      <c r="P53" s="286" t="s">
        <v>182</v>
      </c>
      <c r="Q53" s="302">
        <v>2241100</v>
      </c>
      <c r="R53" s="302">
        <v>80000000</v>
      </c>
      <c r="S53" s="302">
        <v>0</v>
      </c>
      <c r="T53" s="302">
        <v>82241100</v>
      </c>
      <c r="U53" s="302">
        <v>0</v>
      </c>
      <c r="V53" s="302">
        <v>82241100</v>
      </c>
      <c r="W53" s="302">
        <v>0</v>
      </c>
      <c r="X53" s="302">
        <v>1400000</v>
      </c>
      <c r="Y53" s="302">
        <v>1400000</v>
      </c>
      <c r="Z53" s="302">
        <v>1400000</v>
      </c>
      <c r="AA53" s="302">
        <v>1400000</v>
      </c>
      <c r="AB53" s="302">
        <f t="shared" si="0"/>
        <v>80841100</v>
      </c>
    </row>
    <row r="54" spans="1:28" hidden="1" x14ac:dyDescent="0.3">
      <c r="A54" s="300" t="s">
        <v>45</v>
      </c>
      <c r="B54" s="286" t="s">
        <v>232</v>
      </c>
      <c r="C54" s="301" t="s">
        <v>183</v>
      </c>
      <c r="D54" s="300" t="s">
        <v>49</v>
      </c>
      <c r="E54" s="300" t="s">
        <v>83</v>
      </c>
      <c r="F54" s="300" t="s">
        <v>83</v>
      </c>
      <c r="G54" s="300" t="s">
        <v>83</v>
      </c>
      <c r="H54" s="300" t="s">
        <v>77</v>
      </c>
      <c r="I54" s="300" t="s">
        <v>84</v>
      </c>
      <c r="J54" s="300"/>
      <c r="K54" s="300"/>
      <c r="L54" s="300"/>
      <c r="M54" s="300" t="s">
        <v>42</v>
      </c>
      <c r="N54" s="300" t="s">
        <v>47</v>
      </c>
      <c r="O54" s="300" t="s">
        <v>22</v>
      </c>
      <c r="P54" s="286" t="s">
        <v>184</v>
      </c>
      <c r="Q54" s="302">
        <v>102229470</v>
      </c>
      <c r="R54" s="302">
        <v>0</v>
      </c>
      <c r="S54" s="302">
        <v>0</v>
      </c>
      <c r="T54" s="302">
        <v>102229470</v>
      </c>
      <c r="U54" s="302">
        <v>0</v>
      </c>
      <c r="V54" s="302">
        <v>102229470</v>
      </c>
      <c r="W54" s="302">
        <v>0</v>
      </c>
      <c r="X54" s="302">
        <v>27192500</v>
      </c>
      <c r="Y54" s="302">
        <v>11091051.949999999</v>
      </c>
      <c r="Z54" s="302">
        <v>11091051.949999999</v>
      </c>
      <c r="AA54" s="302">
        <v>11091051.949999999</v>
      </c>
      <c r="AB54" s="302">
        <f t="shared" si="0"/>
        <v>75036970</v>
      </c>
    </row>
    <row r="55" spans="1:28" hidden="1" x14ac:dyDescent="0.3">
      <c r="A55" s="300" t="s">
        <v>45</v>
      </c>
      <c r="B55" s="286" t="s">
        <v>232</v>
      </c>
      <c r="C55" s="301" t="s">
        <v>195</v>
      </c>
      <c r="D55" s="300" t="s">
        <v>49</v>
      </c>
      <c r="E55" s="300" t="s">
        <v>83</v>
      </c>
      <c r="F55" s="300" t="s">
        <v>83</v>
      </c>
      <c r="G55" s="300" t="s">
        <v>83</v>
      </c>
      <c r="H55" s="300" t="s">
        <v>77</v>
      </c>
      <c r="I55" s="300" t="s">
        <v>73</v>
      </c>
      <c r="J55" s="300"/>
      <c r="K55" s="300"/>
      <c r="L55" s="300"/>
      <c r="M55" s="300" t="s">
        <v>42</v>
      </c>
      <c r="N55" s="300" t="s">
        <v>47</v>
      </c>
      <c r="O55" s="300" t="s">
        <v>22</v>
      </c>
      <c r="P55" s="286" t="s">
        <v>196</v>
      </c>
      <c r="Q55" s="302">
        <v>13591056</v>
      </c>
      <c r="R55" s="302">
        <v>0</v>
      </c>
      <c r="S55" s="302">
        <v>0</v>
      </c>
      <c r="T55" s="302">
        <v>13591056</v>
      </c>
      <c r="U55" s="302">
        <v>0</v>
      </c>
      <c r="V55" s="302">
        <v>13591056</v>
      </c>
      <c r="W55" s="302">
        <v>0</v>
      </c>
      <c r="X55" s="302">
        <v>13591056</v>
      </c>
      <c r="Y55" s="302">
        <v>3795000</v>
      </c>
      <c r="Z55" s="302">
        <v>3795000</v>
      </c>
      <c r="AA55" s="302">
        <v>3795000</v>
      </c>
      <c r="AB55" s="302">
        <f t="shared" si="0"/>
        <v>0</v>
      </c>
    </row>
    <row r="56" spans="1:28" hidden="1" x14ac:dyDescent="0.3">
      <c r="A56" s="300" t="s">
        <v>45</v>
      </c>
      <c r="B56" s="286" t="s">
        <v>232</v>
      </c>
      <c r="C56" s="301" t="s">
        <v>197</v>
      </c>
      <c r="D56" s="300" t="s">
        <v>49</v>
      </c>
      <c r="E56" s="300" t="s">
        <v>83</v>
      </c>
      <c r="F56" s="300" t="s">
        <v>83</v>
      </c>
      <c r="G56" s="300" t="s">
        <v>83</v>
      </c>
      <c r="H56" s="300" t="s">
        <v>77</v>
      </c>
      <c r="I56" s="300" t="s">
        <v>85</v>
      </c>
      <c r="J56" s="300"/>
      <c r="K56" s="300"/>
      <c r="L56" s="300"/>
      <c r="M56" s="300" t="s">
        <v>42</v>
      </c>
      <c r="N56" s="300" t="s">
        <v>47</v>
      </c>
      <c r="O56" s="300" t="s">
        <v>22</v>
      </c>
      <c r="P56" s="286" t="s">
        <v>186</v>
      </c>
      <c r="Q56" s="302">
        <v>2057439</v>
      </c>
      <c r="R56" s="302">
        <v>0</v>
      </c>
      <c r="S56" s="302">
        <v>0</v>
      </c>
      <c r="T56" s="302">
        <v>2057439</v>
      </c>
      <c r="U56" s="302">
        <v>0</v>
      </c>
      <c r="V56" s="302">
        <v>2057439</v>
      </c>
      <c r="W56" s="302">
        <v>0</v>
      </c>
      <c r="X56" s="302">
        <v>929880</v>
      </c>
      <c r="Y56" s="302">
        <v>929880</v>
      </c>
      <c r="Z56" s="302">
        <v>929880</v>
      </c>
      <c r="AA56" s="302">
        <v>929880</v>
      </c>
      <c r="AB56" s="302">
        <f t="shared" si="0"/>
        <v>1127559</v>
      </c>
    </row>
    <row r="57" spans="1:28" hidden="1" x14ac:dyDescent="0.3">
      <c r="A57" s="300" t="s">
        <v>45</v>
      </c>
      <c r="B57" s="286" t="s">
        <v>232</v>
      </c>
      <c r="C57" s="301" t="s">
        <v>185</v>
      </c>
      <c r="D57" s="300" t="s">
        <v>49</v>
      </c>
      <c r="E57" s="300" t="s">
        <v>83</v>
      </c>
      <c r="F57" s="300" t="s">
        <v>83</v>
      </c>
      <c r="G57" s="300" t="s">
        <v>83</v>
      </c>
      <c r="H57" s="300" t="s">
        <v>77</v>
      </c>
      <c r="I57" s="300" t="s">
        <v>74</v>
      </c>
      <c r="J57" s="300"/>
      <c r="K57" s="300"/>
      <c r="L57" s="300"/>
      <c r="M57" s="300" t="s">
        <v>42</v>
      </c>
      <c r="N57" s="300" t="s">
        <v>47</v>
      </c>
      <c r="O57" s="300" t="s">
        <v>22</v>
      </c>
      <c r="P57" s="286" t="s">
        <v>256</v>
      </c>
      <c r="Q57" s="302">
        <v>250000000</v>
      </c>
      <c r="R57" s="302">
        <v>0</v>
      </c>
      <c r="S57" s="302">
        <v>70000000</v>
      </c>
      <c r="T57" s="302">
        <v>180000000</v>
      </c>
      <c r="U57" s="302">
        <v>0</v>
      </c>
      <c r="V57" s="302">
        <v>180000000</v>
      </c>
      <c r="W57" s="302">
        <v>0</v>
      </c>
      <c r="X57" s="302">
        <v>180000000</v>
      </c>
      <c r="Y57" s="302">
        <v>0</v>
      </c>
      <c r="Z57" s="302">
        <v>0</v>
      </c>
      <c r="AA57" s="302">
        <v>0</v>
      </c>
      <c r="AB57" s="302">
        <f t="shared" si="0"/>
        <v>0</v>
      </c>
    </row>
    <row r="58" spans="1:28" hidden="1" x14ac:dyDescent="0.3">
      <c r="A58" s="300" t="s">
        <v>45</v>
      </c>
      <c r="B58" s="286" t="s">
        <v>232</v>
      </c>
      <c r="C58" s="301" t="s">
        <v>152</v>
      </c>
      <c r="D58" s="300" t="s">
        <v>49</v>
      </c>
      <c r="E58" s="300" t="s">
        <v>83</v>
      </c>
      <c r="F58" s="300" t="s">
        <v>83</v>
      </c>
      <c r="G58" s="300" t="s">
        <v>83</v>
      </c>
      <c r="H58" s="300" t="s">
        <v>78</v>
      </c>
      <c r="I58" s="300"/>
      <c r="J58" s="300"/>
      <c r="K58" s="300"/>
      <c r="L58" s="300"/>
      <c r="M58" s="300" t="s">
        <v>42</v>
      </c>
      <c r="N58" s="300" t="s">
        <v>47</v>
      </c>
      <c r="O58" s="300" t="s">
        <v>22</v>
      </c>
      <c r="P58" s="286" t="s">
        <v>105</v>
      </c>
      <c r="Q58" s="302">
        <v>300000000</v>
      </c>
      <c r="R58" s="302">
        <v>0</v>
      </c>
      <c r="S58" s="302">
        <v>0</v>
      </c>
      <c r="T58" s="302">
        <v>300000000</v>
      </c>
      <c r="U58" s="302">
        <v>0</v>
      </c>
      <c r="V58" s="302">
        <v>300000000</v>
      </c>
      <c r="W58" s="302">
        <v>0</v>
      </c>
      <c r="X58" s="302">
        <v>32875310</v>
      </c>
      <c r="Y58" s="302">
        <v>32875310</v>
      </c>
      <c r="Z58" s="302">
        <v>32875310</v>
      </c>
      <c r="AA58" s="302">
        <v>28570826</v>
      </c>
      <c r="AB58" s="302">
        <f t="shared" si="0"/>
        <v>267124690</v>
      </c>
    </row>
    <row r="59" spans="1:28" hidden="1" x14ac:dyDescent="0.3">
      <c r="A59" s="300" t="s">
        <v>45</v>
      </c>
      <c r="B59" s="286" t="s">
        <v>232</v>
      </c>
      <c r="C59" s="301" t="s">
        <v>153</v>
      </c>
      <c r="D59" s="300" t="s">
        <v>49</v>
      </c>
      <c r="E59" s="300" t="s">
        <v>89</v>
      </c>
      <c r="F59" s="300" t="s">
        <v>108</v>
      </c>
      <c r="G59" s="300" t="s">
        <v>83</v>
      </c>
      <c r="H59" s="300" t="s">
        <v>110</v>
      </c>
      <c r="I59" s="300" t="s">
        <v>70</v>
      </c>
      <c r="J59" s="300"/>
      <c r="K59" s="300"/>
      <c r="L59" s="300"/>
      <c r="M59" s="300" t="s">
        <v>42</v>
      </c>
      <c r="N59" s="300" t="s">
        <v>47</v>
      </c>
      <c r="O59" s="300" t="s">
        <v>22</v>
      </c>
      <c r="P59" s="286" t="s">
        <v>154</v>
      </c>
      <c r="Q59" s="302">
        <v>140300000</v>
      </c>
      <c r="R59" s="302">
        <v>0</v>
      </c>
      <c r="S59" s="302">
        <v>0</v>
      </c>
      <c r="T59" s="302">
        <v>140300000</v>
      </c>
      <c r="U59" s="302">
        <v>0</v>
      </c>
      <c r="V59" s="302">
        <v>140300000</v>
      </c>
      <c r="W59" s="302">
        <v>0</v>
      </c>
      <c r="X59" s="302">
        <v>25545698</v>
      </c>
      <c r="Y59" s="302">
        <v>19186496</v>
      </c>
      <c r="Z59" s="302">
        <v>19186496</v>
      </c>
      <c r="AA59" s="302">
        <v>19186496</v>
      </c>
      <c r="AB59" s="302">
        <f t="shared" si="0"/>
        <v>114754302</v>
      </c>
    </row>
    <row r="60" spans="1:28" hidden="1" x14ac:dyDescent="0.3">
      <c r="A60" s="300" t="s">
        <v>45</v>
      </c>
      <c r="B60" s="286" t="s">
        <v>232</v>
      </c>
      <c r="C60" s="301" t="s">
        <v>155</v>
      </c>
      <c r="D60" s="300" t="s">
        <v>49</v>
      </c>
      <c r="E60" s="300" t="s">
        <v>89</v>
      </c>
      <c r="F60" s="300" t="s">
        <v>108</v>
      </c>
      <c r="G60" s="300" t="s">
        <v>83</v>
      </c>
      <c r="H60" s="300" t="s">
        <v>110</v>
      </c>
      <c r="I60" s="300" t="s">
        <v>84</v>
      </c>
      <c r="J60" s="300"/>
      <c r="K60" s="300"/>
      <c r="L60" s="300"/>
      <c r="M60" s="300" t="s">
        <v>42</v>
      </c>
      <c r="N60" s="300" t="s">
        <v>47</v>
      </c>
      <c r="O60" s="300" t="s">
        <v>22</v>
      </c>
      <c r="P60" s="286" t="s">
        <v>117</v>
      </c>
      <c r="Q60" s="302">
        <v>122400000</v>
      </c>
      <c r="R60" s="302">
        <v>0</v>
      </c>
      <c r="S60" s="302">
        <v>0</v>
      </c>
      <c r="T60" s="302">
        <v>122400000</v>
      </c>
      <c r="U60" s="302">
        <v>0</v>
      </c>
      <c r="V60" s="302">
        <v>122400000</v>
      </c>
      <c r="W60" s="302">
        <v>0</v>
      </c>
      <c r="X60" s="302">
        <v>19861568</v>
      </c>
      <c r="Y60" s="302">
        <v>19861568</v>
      </c>
      <c r="Z60" s="302">
        <v>19861568</v>
      </c>
      <c r="AA60" s="302">
        <v>19861568</v>
      </c>
      <c r="AB60" s="302">
        <f t="shared" si="0"/>
        <v>102538432</v>
      </c>
    </row>
    <row r="61" spans="1:28" hidden="1" x14ac:dyDescent="0.3">
      <c r="A61" s="300" t="s">
        <v>45</v>
      </c>
      <c r="B61" s="286" t="s">
        <v>232</v>
      </c>
      <c r="C61" s="301" t="s">
        <v>247</v>
      </c>
      <c r="D61" s="300" t="s">
        <v>49</v>
      </c>
      <c r="E61" s="300" t="s">
        <v>89</v>
      </c>
      <c r="F61" s="300" t="s">
        <v>47</v>
      </c>
      <c r="G61" s="300" t="s">
        <v>83</v>
      </c>
      <c r="H61" s="300" t="s">
        <v>70</v>
      </c>
      <c r="I61" s="300"/>
      <c r="J61" s="300"/>
      <c r="K61" s="300"/>
      <c r="L61" s="300"/>
      <c r="M61" s="300" t="s">
        <v>42</v>
      </c>
      <c r="N61" s="300" t="s">
        <v>47</v>
      </c>
      <c r="O61" s="300" t="s">
        <v>22</v>
      </c>
      <c r="P61" s="286" t="s">
        <v>246</v>
      </c>
      <c r="Q61" s="302">
        <v>108800000</v>
      </c>
      <c r="R61" s="302">
        <v>8329785998</v>
      </c>
      <c r="S61" s="302">
        <v>4164892999</v>
      </c>
      <c r="T61" s="302">
        <v>4273692999</v>
      </c>
      <c r="U61" s="302">
        <v>0</v>
      </c>
      <c r="V61" s="302">
        <v>4273692998.8000002</v>
      </c>
      <c r="W61" s="302">
        <v>0.2</v>
      </c>
      <c r="X61" s="302">
        <v>4121731167.54</v>
      </c>
      <c r="Y61" s="302">
        <v>4121731167.54</v>
      </c>
      <c r="Z61" s="302">
        <v>4121731167.54</v>
      </c>
      <c r="AA61" s="302">
        <v>4121731167.54</v>
      </c>
      <c r="AB61" s="302">
        <f t="shared" si="0"/>
        <v>151961831.26000023</v>
      </c>
    </row>
    <row r="62" spans="1:28" hidden="1" x14ac:dyDescent="0.3">
      <c r="A62" s="300" t="s">
        <v>45</v>
      </c>
      <c r="B62" s="286" t="s">
        <v>232</v>
      </c>
      <c r="C62" s="301" t="s">
        <v>292</v>
      </c>
      <c r="D62" s="300" t="s">
        <v>44</v>
      </c>
      <c r="E62" s="300" t="s">
        <v>43</v>
      </c>
      <c r="F62" s="300" t="s">
        <v>25</v>
      </c>
      <c r="G62" s="300" t="s">
        <v>48</v>
      </c>
      <c r="H62" s="300" t="s">
        <v>260</v>
      </c>
      <c r="I62" s="300" t="s">
        <v>208</v>
      </c>
      <c r="J62" s="300" t="s">
        <v>83</v>
      </c>
      <c r="K62" s="300"/>
      <c r="L62" s="300"/>
      <c r="M62" s="300" t="s">
        <v>42</v>
      </c>
      <c r="N62" s="300" t="s">
        <v>47</v>
      </c>
      <c r="O62" s="300" t="s">
        <v>22</v>
      </c>
      <c r="P62" s="286" t="s">
        <v>293</v>
      </c>
      <c r="Q62" s="302">
        <v>598579182</v>
      </c>
      <c r="R62" s="302">
        <v>0</v>
      </c>
      <c r="S62" s="302">
        <v>598579182</v>
      </c>
      <c r="T62" s="302">
        <v>0</v>
      </c>
      <c r="U62" s="302">
        <v>0</v>
      </c>
      <c r="V62" s="302">
        <v>0</v>
      </c>
      <c r="W62" s="302">
        <v>0</v>
      </c>
      <c r="X62" s="302">
        <v>0</v>
      </c>
      <c r="Y62" s="302">
        <v>0</v>
      </c>
      <c r="Z62" s="302">
        <v>0</v>
      </c>
      <c r="AA62" s="302">
        <v>0</v>
      </c>
      <c r="AB62" s="302">
        <f t="shared" si="0"/>
        <v>0</v>
      </c>
    </row>
    <row r="63" spans="1:28" x14ac:dyDescent="0.3">
      <c r="A63" s="300" t="s">
        <v>45</v>
      </c>
      <c r="B63" s="286" t="s">
        <v>232</v>
      </c>
      <c r="C63" s="301" t="s">
        <v>294</v>
      </c>
      <c r="D63" s="300" t="s">
        <v>44</v>
      </c>
      <c r="E63" s="300" t="s">
        <v>43</v>
      </c>
      <c r="F63" s="300" t="s">
        <v>25</v>
      </c>
      <c r="G63" s="300" t="s">
        <v>48</v>
      </c>
      <c r="H63" s="300" t="s">
        <v>260</v>
      </c>
      <c r="I63" s="300" t="s">
        <v>208</v>
      </c>
      <c r="J63" s="300" t="s">
        <v>263</v>
      </c>
      <c r="K63" s="300" t="s">
        <v>33</v>
      </c>
      <c r="L63" s="300" t="s">
        <v>33</v>
      </c>
      <c r="M63" s="300" t="s">
        <v>42</v>
      </c>
      <c r="N63" s="300" t="s">
        <v>47</v>
      </c>
      <c r="O63" s="300" t="s">
        <v>22</v>
      </c>
      <c r="P63" s="286" t="s">
        <v>207</v>
      </c>
      <c r="Q63" s="302">
        <v>598579182</v>
      </c>
      <c r="R63" s="302">
        <v>0</v>
      </c>
      <c r="S63" s="302">
        <v>0</v>
      </c>
      <c r="T63" s="302">
        <v>598579182</v>
      </c>
      <c r="U63" s="302">
        <v>0</v>
      </c>
      <c r="V63" s="302">
        <v>598579182</v>
      </c>
      <c r="W63" s="302">
        <v>0</v>
      </c>
      <c r="X63" s="302">
        <v>504623300</v>
      </c>
      <c r="Y63" s="302">
        <v>120423340</v>
      </c>
      <c r="Z63" s="302">
        <v>120423340</v>
      </c>
      <c r="AA63" s="302">
        <v>120423340</v>
      </c>
      <c r="AB63" s="302">
        <f t="shared" si="0"/>
        <v>93955882</v>
      </c>
    </row>
    <row r="64" spans="1:28" x14ac:dyDescent="0.3">
      <c r="A64" s="300" t="s">
        <v>45</v>
      </c>
      <c r="B64" s="286" t="s">
        <v>232</v>
      </c>
      <c r="C64" s="301" t="s">
        <v>262</v>
      </c>
      <c r="D64" s="300" t="s">
        <v>44</v>
      </c>
      <c r="E64" s="300" t="s">
        <v>43</v>
      </c>
      <c r="F64" s="300" t="s">
        <v>25</v>
      </c>
      <c r="G64" s="300" t="s">
        <v>48</v>
      </c>
      <c r="H64" s="300" t="s">
        <v>260</v>
      </c>
      <c r="I64" s="300" t="s">
        <v>206</v>
      </c>
      <c r="J64" s="300" t="s">
        <v>263</v>
      </c>
      <c r="K64" s="300" t="s">
        <v>33</v>
      </c>
      <c r="L64" s="300" t="s">
        <v>33</v>
      </c>
      <c r="M64" s="300" t="s">
        <v>42</v>
      </c>
      <c r="N64" s="300" t="s">
        <v>47</v>
      </c>
      <c r="O64" s="300" t="s">
        <v>22</v>
      </c>
      <c r="P64" s="286" t="s">
        <v>207</v>
      </c>
      <c r="Q64" s="302">
        <v>3713230542</v>
      </c>
      <c r="R64" s="302">
        <v>3713230542</v>
      </c>
      <c r="S64" s="302">
        <v>4311809724</v>
      </c>
      <c r="T64" s="302">
        <v>3114651360</v>
      </c>
      <c r="U64" s="302">
        <v>0</v>
      </c>
      <c r="V64" s="302">
        <v>3114651360</v>
      </c>
      <c r="W64" s="302">
        <v>0</v>
      </c>
      <c r="X64" s="302">
        <v>286000000</v>
      </c>
      <c r="Y64" s="302">
        <v>93300000</v>
      </c>
      <c r="Z64" s="302">
        <v>93300000</v>
      </c>
      <c r="AA64" s="302">
        <v>93300000</v>
      </c>
      <c r="AB64" s="302">
        <f t="shared" si="0"/>
        <v>2828651360</v>
      </c>
    </row>
    <row r="65" spans="1:28" hidden="1" x14ac:dyDescent="0.3">
      <c r="A65" s="300" t="s">
        <v>45</v>
      </c>
      <c r="B65" s="286" t="s">
        <v>232</v>
      </c>
      <c r="C65" s="301" t="s">
        <v>264</v>
      </c>
      <c r="D65" s="300" t="s">
        <v>44</v>
      </c>
      <c r="E65" s="300" t="s">
        <v>43</v>
      </c>
      <c r="F65" s="300" t="s">
        <v>25</v>
      </c>
      <c r="G65" s="300" t="s">
        <v>48</v>
      </c>
      <c r="H65" s="300" t="s">
        <v>260</v>
      </c>
      <c r="I65" s="300" t="s">
        <v>209</v>
      </c>
      <c r="J65" s="300" t="s">
        <v>265</v>
      </c>
      <c r="K65" s="300" t="s">
        <v>33</v>
      </c>
      <c r="L65" s="300" t="s">
        <v>33</v>
      </c>
      <c r="M65" s="300" t="s">
        <v>42</v>
      </c>
      <c r="N65" s="300" t="s">
        <v>205</v>
      </c>
      <c r="O65" s="300" t="s">
        <v>22</v>
      </c>
      <c r="P65" s="286" t="s">
        <v>266</v>
      </c>
      <c r="Q65" s="302">
        <v>6805706683</v>
      </c>
      <c r="R65" s="302">
        <v>389291002</v>
      </c>
      <c r="S65" s="302">
        <v>0</v>
      </c>
      <c r="T65" s="302">
        <v>7194997685</v>
      </c>
      <c r="U65" s="302">
        <v>0</v>
      </c>
      <c r="V65" s="302">
        <v>7194997685</v>
      </c>
      <c r="W65" s="302">
        <v>0</v>
      </c>
      <c r="X65" s="302">
        <v>5968997685</v>
      </c>
      <c r="Y65" s="302">
        <v>663499308</v>
      </c>
      <c r="Z65" s="302">
        <v>663499308</v>
      </c>
      <c r="AA65" s="302">
        <v>663499308</v>
      </c>
      <c r="AB65" s="302">
        <f t="shared" si="0"/>
        <v>1226000000</v>
      </c>
    </row>
    <row r="66" spans="1:28" hidden="1" x14ac:dyDescent="0.3">
      <c r="A66" s="300" t="s">
        <v>45</v>
      </c>
      <c r="B66" s="286" t="s">
        <v>232</v>
      </c>
      <c r="C66" s="301" t="s">
        <v>267</v>
      </c>
      <c r="D66" s="300" t="s">
        <v>44</v>
      </c>
      <c r="E66" s="300" t="s">
        <v>43</v>
      </c>
      <c r="F66" s="300" t="s">
        <v>25</v>
      </c>
      <c r="G66" s="300" t="s">
        <v>48</v>
      </c>
      <c r="H66" s="300" t="s">
        <v>260</v>
      </c>
      <c r="I66" s="300" t="s">
        <v>208</v>
      </c>
      <c r="J66" s="300" t="s">
        <v>268</v>
      </c>
      <c r="K66" s="300" t="s">
        <v>33</v>
      </c>
      <c r="L66" s="300" t="s">
        <v>33</v>
      </c>
      <c r="M66" s="300" t="s">
        <v>42</v>
      </c>
      <c r="N66" s="300" t="s">
        <v>205</v>
      </c>
      <c r="O66" s="300" t="s">
        <v>22</v>
      </c>
      <c r="P66" s="286" t="s">
        <v>269</v>
      </c>
      <c r="Q66" s="302">
        <v>1747389775</v>
      </c>
      <c r="R66" s="302">
        <v>0</v>
      </c>
      <c r="S66" s="302">
        <v>389291002</v>
      </c>
      <c r="T66" s="302">
        <v>1358098773</v>
      </c>
      <c r="U66" s="302">
        <v>0</v>
      </c>
      <c r="V66" s="302">
        <v>1358098773</v>
      </c>
      <c r="W66" s="302">
        <v>0</v>
      </c>
      <c r="X66" s="302">
        <v>996319682</v>
      </c>
      <c r="Y66" s="302">
        <v>380106367</v>
      </c>
      <c r="Z66" s="302">
        <v>380106367</v>
      </c>
      <c r="AA66" s="302">
        <v>380106367</v>
      </c>
      <c r="AB66" s="302">
        <f t="shared" si="0"/>
        <v>361779091</v>
      </c>
    </row>
    <row r="67" spans="1:28" hidden="1" x14ac:dyDescent="0.3">
      <c r="A67" s="300" t="s">
        <v>33</v>
      </c>
      <c r="B67" s="286" t="s">
        <v>33</v>
      </c>
      <c r="C67" s="301" t="s">
        <v>33</v>
      </c>
      <c r="D67" s="300" t="s">
        <v>33</v>
      </c>
      <c r="E67" s="300" t="s">
        <v>33</v>
      </c>
      <c r="F67" s="300" t="s">
        <v>33</v>
      </c>
      <c r="G67" s="300" t="s">
        <v>33</v>
      </c>
      <c r="H67" s="300" t="s">
        <v>33</v>
      </c>
      <c r="I67" s="300" t="s">
        <v>33</v>
      </c>
      <c r="J67" s="300" t="s">
        <v>33</v>
      </c>
      <c r="K67" s="300" t="s">
        <v>33</v>
      </c>
      <c r="L67" s="300" t="s">
        <v>33</v>
      </c>
      <c r="M67" s="300" t="s">
        <v>33</v>
      </c>
      <c r="N67" s="300" t="s">
        <v>33</v>
      </c>
      <c r="O67" s="300" t="s">
        <v>33</v>
      </c>
      <c r="P67" s="286" t="s">
        <v>33</v>
      </c>
      <c r="Q67" s="302">
        <v>91103785364</v>
      </c>
      <c r="R67" s="302">
        <v>17944343038</v>
      </c>
      <c r="S67" s="302">
        <v>15026608403</v>
      </c>
      <c r="T67" s="302">
        <v>94021519999</v>
      </c>
      <c r="U67" s="302">
        <v>0</v>
      </c>
      <c r="V67" s="302">
        <v>94021519998.800003</v>
      </c>
      <c r="W67" s="302">
        <v>0.199999809265137</v>
      </c>
      <c r="X67" s="302">
        <v>45099307600.410004</v>
      </c>
      <c r="Y67" s="302">
        <v>29099444791.040001</v>
      </c>
      <c r="Z67" s="302">
        <v>29088266541.040001</v>
      </c>
      <c r="AA67" s="302">
        <v>29010109783.040001</v>
      </c>
      <c r="AB67" s="302">
        <f t="shared" si="0"/>
        <v>48922212398.389999</v>
      </c>
    </row>
    <row r="68" spans="1:28" hidden="1" x14ac:dyDescent="0.3">
      <c r="A68" s="300" t="s">
        <v>33</v>
      </c>
      <c r="B68" s="298" t="s">
        <v>33</v>
      </c>
      <c r="C68" s="301" t="s">
        <v>33</v>
      </c>
      <c r="D68" s="300" t="s">
        <v>33</v>
      </c>
      <c r="E68" s="300" t="s">
        <v>33</v>
      </c>
      <c r="F68" s="300" t="s">
        <v>33</v>
      </c>
      <c r="G68" s="300" t="s">
        <v>33</v>
      </c>
      <c r="H68" s="300" t="s">
        <v>33</v>
      </c>
      <c r="I68" s="300" t="s">
        <v>33</v>
      </c>
      <c r="J68" s="300" t="s">
        <v>33</v>
      </c>
      <c r="K68" s="300" t="s">
        <v>33</v>
      </c>
      <c r="L68" s="300" t="s">
        <v>33</v>
      </c>
      <c r="M68" s="300" t="s">
        <v>33</v>
      </c>
      <c r="N68" s="300" t="s">
        <v>33</v>
      </c>
      <c r="O68" s="300" t="s">
        <v>33</v>
      </c>
      <c r="P68" s="286" t="s">
        <v>33</v>
      </c>
      <c r="Q68" s="299" t="s">
        <v>33</v>
      </c>
      <c r="R68" s="299" t="s">
        <v>33</v>
      </c>
      <c r="S68" s="299" t="s">
        <v>33</v>
      </c>
      <c r="T68" s="299" t="s">
        <v>33</v>
      </c>
      <c r="U68" s="299" t="s">
        <v>33</v>
      </c>
      <c r="V68" s="299" t="s">
        <v>33</v>
      </c>
      <c r="W68" s="299" t="s">
        <v>33</v>
      </c>
      <c r="X68" s="299" t="s">
        <v>33</v>
      </c>
      <c r="Y68" s="299" t="s">
        <v>33</v>
      </c>
      <c r="Z68" s="299" t="s">
        <v>33</v>
      </c>
      <c r="AA68" s="299" t="s">
        <v>33</v>
      </c>
    </row>
    <row r="69" spans="1:28" ht="0" hidden="1" customHeight="1" x14ac:dyDescent="0.3"/>
    <row r="70" spans="1:28" ht="34.049999999999997" customHeight="1" x14ac:dyDescent="0.3"/>
  </sheetData>
  <autoFilter ref="A4:AC68" xr:uid="{D7B05AF8-A1C3-4706-929A-1786123A1DF2}">
    <filterColumn colId="2">
      <filters>
        <filter val="C-1205-0800-3-20110E-1205005-0201"/>
        <filter val="C-1205-0800-3-20110E-1205007-0201"/>
      </filters>
    </filterColumn>
    <filterColumn colId="3">
      <filters>
        <filter val="C"/>
      </filters>
    </filterColumn>
  </autoFilter>
  <pageMargins left="0.70866141732283472" right="0.70866141732283472" top="0.74803149606299213" bottom="0.74803149606299213" header="0.31496062992125984" footer="0.31496062992125984"/>
  <pageSetup scale="54" orientation="landscape" r:id="rId1"/>
  <colBreaks count="1" manualBreakCount="1">
    <brk id="24" max="6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F2E72-AA58-4681-98D7-175A4DF6CC32}">
  <sheetPr>
    <tabColor theme="5" tint="0.79998168889431442"/>
    <pageSetUpPr fitToPage="1"/>
  </sheetPr>
  <dimension ref="B1:L26"/>
  <sheetViews>
    <sheetView showGridLines="0" zoomScale="98" zoomScaleNormal="98" workbookViewId="0">
      <selection activeCell="B1" sqref="B1"/>
    </sheetView>
  </sheetViews>
  <sheetFormatPr baseColWidth="10" defaultColWidth="11.44140625" defaultRowHeight="13.8" x14ac:dyDescent="0.3"/>
  <cols>
    <col min="1" max="1" width="4.6640625" style="87" customWidth="1"/>
    <col min="2" max="2" width="53.33203125" style="87" customWidth="1"/>
    <col min="3" max="3" width="23.88671875" style="87" customWidth="1"/>
    <col min="4" max="4" width="17.6640625" style="87" customWidth="1"/>
    <col min="5" max="5" width="20" style="87" customWidth="1"/>
    <col min="6" max="6" width="21" style="87" customWidth="1"/>
    <col min="7" max="7" width="19.33203125" style="87" customWidth="1"/>
    <col min="8" max="8" width="18" style="87" customWidth="1"/>
    <col min="9" max="9" width="16.33203125" style="87" bestFit="1" customWidth="1"/>
    <col min="10" max="10" width="18.5546875" style="87" customWidth="1"/>
    <col min="11" max="11" width="14.88671875" style="87" customWidth="1"/>
    <col min="12" max="12" width="14.6640625" style="87" customWidth="1"/>
    <col min="13" max="16384" width="11.44140625" style="87"/>
  </cols>
  <sheetData>
    <row r="1" spans="2:12" ht="14.4" thickBot="1" x14ac:dyDescent="0.35">
      <c r="B1" s="314"/>
      <c r="D1" s="313"/>
    </row>
    <row r="2" spans="2:12" ht="31.5" customHeight="1" thickBot="1" x14ac:dyDescent="0.35">
      <c r="B2" s="101" t="s">
        <v>15</v>
      </c>
      <c r="C2" s="98" t="s">
        <v>222</v>
      </c>
      <c r="D2" s="98" t="s">
        <v>19</v>
      </c>
      <c r="E2" s="98" t="s">
        <v>18</v>
      </c>
      <c r="F2" s="98" t="s">
        <v>20</v>
      </c>
      <c r="G2" s="98" t="s">
        <v>21</v>
      </c>
      <c r="H2" s="98" t="s">
        <v>223</v>
      </c>
      <c r="I2" s="294" t="s">
        <v>298</v>
      </c>
      <c r="J2" s="285" t="s">
        <v>272</v>
      </c>
    </row>
    <row r="3" spans="2:12" ht="14.4" thickBot="1" x14ac:dyDescent="0.35">
      <c r="B3" s="88" t="s">
        <v>4</v>
      </c>
      <c r="C3" s="89">
        <f>+'EJECUCION AGENCIA'!I9-8294500000</f>
        <v>58386800000</v>
      </c>
      <c r="D3" s="89">
        <f>+'EJECUCION AGENCIA'!J8</f>
        <v>18436266437.650002</v>
      </c>
      <c r="E3" s="89">
        <f>+'EJECUCION AGENCIA'!L8</f>
        <v>39950533562.349998</v>
      </c>
      <c r="F3" s="89">
        <f>+'EJECUCION AGENCIA'!N8</f>
        <v>18430114730.650002</v>
      </c>
      <c r="G3" s="89">
        <f>+'EJECUCION AGENCIA'!P8</f>
        <v>18386308754.650002</v>
      </c>
      <c r="H3" s="89">
        <f>+'EJECUCION AGENCIA'!M8</f>
        <v>0</v>
      </c>
      <c r="I3" s="90">
        <f t="shared" ref="I3:I14" si="0">+D3/C3</f>
        <v>0.31576086440171414</v>
      </c>
      <c r="J3" s="90">
        <f>+F3/C3</f>
        <v>0.3156555031385519</v>
      </c>
      <c r="K3" s="105"/>
    </row>
    <row r="4" spans="2:12" ht="25.5" customHeight="1" thickBot="1" x14ac:dyDescent="0.35">
      <c r="B4" s="88" t="s">
        <v>124</v>
      </c>
      <c r="C4" s="89">
        <f>+'EJECUCION AGENCIA'!I37</f>
        <v>18832000000</v>
      </c>
      <c r="D4" s="89">
        <f>+'EJECUCION AGENCIA'!J37</f>
        <v>14739962062.220001</v>
      </c>
      <c r="E4" s="89">
        <f>+'EJECUCION AGENCIA'!L37</f>
        <v>3530555903.2700005</v>
      </c>
      <c r="F4" s="89">
        <f>+'EJECUCION AGENCIA'!N37</f>
        <v>5251221813.8499994</v>
      </c>
      <c r="G4" s="89">
        <f>+'EJECUCION AGENCIA'!P37</f>
        <v>5205692781.8499994</v>
      </c>
      <c r="H4" s="89">
        <f>+'EJECUCION AGENCIA'!M37</f>
        <v>561482034.50999999</v>
      </c>
      <c r="I4" s="90">
        <f t="shared" si="0"/>
        <v>0.78270826583581143</v>
      </c>
      <c r="J4" s="90">
        <f t="shared" ref="J4:J9" si="1">+F4/C4</f>
        <v>0.27884567830554374</v>
      </c>
      <c r="K4" s="105"/>
    </row>
    <row r="5" spans="2:12" ht="14.4" thickBot="1" x14ac:dyDescent="0.35">
      <c r="B5" s="88" t="s">
        <v>26</v>
      </c>
      <c r="C5" s="89">
        <f t="shared" ref="C5:H5" si="2">SUM(C6:C8)</f>
        <v>56273092999</v>
      </c>
      <c r="D5" s="89">
        <f t="shared" si="2"/>
        <v>28917494949.150002</v>
      </c>
      <c r="E5" s="89">
        <f t="shared" si="2"/>
        <v>21466330432</v>
      </c>
      <c r="F5" s="89">
        <f t="shared" si="2"/>
        <v>10020713964.310001</v>
      </c>
      <c r="G5" s="89">
        <f t="shared" si="2"/>
        <v>9992241142.6399994</v>
      </c>
      <c r="H5" s="89">
        <f t="shared" si="2"/>
        <v>5889267617.7700005</v>
      </c>
      <c r="I5" s="90">
        <f t="shared" si="0"/>
        <v>0.51387783055862735</v>
      </c>
      <c r="J5" s="90">
        <f t="shared" si="1"/>
        <v>0.17807291958322025</v>
      </c>
      <c r="K5" s="105"/>
      <c r="L5" s="105"/>
    </row>
    <row r="6" spans="2:12" ht="24.6" customHeight="1" thickBot="1" x14ac:dyDescent="0.35">
      <c r="B6" s="303" t="s">
        <v>27</v>
      </c>
      <c r="C6" s="304">
        <f>+'EJECUCION AGENCIA'!I86</f>
        <v>51736700000</v>
      </c>
      <c r="D6" s="304">
        <f>+'EJECUCION AGENCIA'!J86</f>
        <v>24750356515.610001</v>
      </c>
      <c r="E6" s="304">
        <f>+'EJECUCION AGENCIA'!L86</f>
        <v>21177862698</v>
      </c>
      <c r="F6" s="304">
        <f>+'EJECUCION AGENCIA'!N86</f>
        <v>5859934732.7700005</v>
      </c>
      <c r="G6" s="304">
        <f>+'EJECUCION AGENCIA'!P86</f>
        <v>5831461911.1000004</v>
      </c>
      <c r="H6" s="304">
        <f>+'EJECUCION AGENCIA'!M86</f>
        <v>5808480786.3900003</v>
      </c>
      <c r="I6" s="305">
        <f t="shared" si="0"/>
        <v>0.47839070747863705</v>
      </c>
      <c r="J6" s="305">
        <f t="shared" si="1"/>
        <v>0.11326456331327665</v>
      </c>
      <c r="K6" s="105"/>
      <c r="L6" s="105"/>
    </row>
    <row r="7" spans="2:12" ht="24.6" customHeight="1" thickBot="1" x14ac:dyDescent="0.35">
      <c r="B7" s="303" t="s">
        <v>111</v>
      </c>
      <c r="C7" s="304">
        <f>+'EJECUCION AGENCIA'!I88</f>
        <v>262700000</v>
      </c>
      <c r="D7" s="304">
        <f>+'EJECUCION AGENCIA'!J88</f>
        <v>45407266</v>
      </c>
      <c r="E7" s="304">
        <f>+'EJECUCION AGENCIA'!L88</f>
        <v>217292734</v>
      </c>
      <c r="F7" s="304">
        <f>+'EJECUCION AGENCIA'!N88</f>
        <v>39048064</v>
      </c>
      <c r="G7" s="304">
        <f>+'EJECUCION AGENCIA'!P88</f>
        <v>39048064</v>
      </c>
      <c r="H7" s="304">
        <f>+'EJECUCION AGENCIA'!M88</f>
        <v>0</v>
      </c>
      <c r="I7" s="305">
        <f t="shared" si="0"/>
        <v>0.1728483669585078</v>
      </c>
      <c r="J7" s="305">
        <f t="shared" si="1"/>
        <v>0.14864127902550439</v>
      </c>
      <c r="K7" s="105"/>
      <c r="L7" s="105"/>
    </row>
    <row r="8" spans="2:12" ht="24.6" customHeight="1" thickBot="1" x14ac:dyDescent="0.35">
      <c r="B8" s="303" t="s">
        <v>245</v>
      </c>
      <c r="C8" s="304">
        <f>+'EJECUCION AGENCIA'!I92</f>
        <v>4273692999</v>
      </c>
      <c r="D8" s="304">
        <f>+'EJECUCION AGENCIA'!J92</f>
        <v>4121731167.54</v>
      </c>
      <c r="E8" s="312">
        <f>+'EJECUCION AGENCIA'!L92</f>
        <v>71175000.000000224</v>
      </c>
      <c r="F8" s="304">
        <f>+'EJECUCION AGENCIA'!N92</f>
        <v>4121731167.54</v>
      </c>
      <c r="G8" s="304">
        <f>+'EJECUCION AGENCIA'!P92</f>
        <v>4121731167.54</v>
      </c>
      <c r="H8" s="304">
        <f>+'EJECUCION AGENCIA'!M92</f>
        <v>80786831.38000001</v>
      </c>
      <c r="I8" s="305">
        <f t="shared" si="0"/>
        <v>0.96444250172027857</v>
      </c>
      <c r="J8" s="305">
        <f t="shared" si="1"/>
        <v>0.96444250172027857</v>
      </c>
      <c r="K8" s="105"/>
      <c r="L8" s="105"/>
    </row>
    <row r="9" spans="2:12" ht="33" customHeight="1" thickBot="1" x14ac:dyDescent="0.35">
      <c r="B9" s="88" t="s">
        <v>113</v>
      </c>
      <c r="C9" s="89">
        <f>+'EJECUCION AGENCIA'!I95</f>
        <v>299100000</v>
      </c>
      <c r="D9" s="89">
        <f>+'EJECUCION AGENCIA'!J96</f>
        <v>0</v>
      </c>
      <c r="E9" s="89">
        <f>+'EJECUCION AGENCIA'!L96</f>
        <v>0</v>
      </c>
      <c r="F9" s="89">
        <f>+'EJECUCION AGENCIA'!N95</f>
        <v>0</v>
      </c>
      <c r="G9" s="89">
        <f>+'EJECUCION AGENCIA'!P95</f>
        <v>0</v>
      </c>
      <c r="H9" s="89">
        <f>+'EJECUCION AGENCIA'!M95</f>
        <v>299100000</v>
      </c>
      <c r="I9" s="90">
        <f t="shared" si="0"/>
        <v>0</v>
      </c>
      <c r="J9" s="90">
        <f t="shared" si="1"/>
        <v>0</v>
      </c>
      <c r="K9" s="105"/>
    </row>
    <row r="10" spans="2:12" ht="30" customHeight="1" thickBot="1" x14ac:dyDescent="0.35">
      <c r="B10" s="94" t="s">
        <v>11</v>
      </c>
      <c r="C10" s="95">
        <f>+C3+C4+C5+C9</f>
        <v>133790992999</v>
      </c>
      <c r="D10" s="95">
        <f t="shared" ref="D10:H10" si="3">+D3+D4+D5+D9</f>
        <v>62093723449.020004</v>
      </c>
      <c r="E10" s="95">
        <f>+E3+E4+E5+E9</f>
        <v>64947419897.619995</v>
      </c>
      <c r="F10" s="95">
        <f t="shared" si="3"/>
        <v>33702050508.810001</v>
      </c>
      <c r="G10" s="95">
        <f t="shared" si="3"/>
        <v>33584242679.139999</v>
      </c>
      <c r="H10" s="95">
        <f t="shared" si="3"/>
        <v>6749849652.2800007</v>
      </c>
      <c r="I10" s="96">
        <f t="shared" si="0"/>
        <v>0.46410989302907796</v>
      </c>
      <c r="J10" s="96">
        <f>+F10/C10</f>
        <v>0.25190074274328694</v>
      </c>
      <c r="K10" s="105"/>
      <c r="L10" s="91"/>
    </row>
    <row r="11" spans="2:12" ht="65.25" customHeight="1" thickBot="1" x14ac:dyDescent="0.35">
      <c r="B11" s="92" t="str">
        <f>+'[1]SEG.PTAL-DR '!H26</f>
        <v>IMPLEMENTACION DEL PROGRAMA DE FORTALECIMIENTO DE LA AGENCIA DE DEFENSA JURIDICA A NIVEL NACIONAL</v>
      </c>
      <c r="C11" s="89">
        <f>+'EJECUCION AGENCIA'!I101+'EJECUCION AGENCIA'!I104</f>
        <v>3713230542</v>
      </c>
      <c r="D11" s="89">
        <f>+'EJECUCION AGENCIA'!J101+'EJECUCION AGENCIA'!J104</f>
        <v>790623300</v>
      </c>
      <c r="E11" s="89">
        <f>+'EJECUCION AGENCIA'!L101+'EJECUCION AGENCIA'!L104</f>
        <v>2798651360</v>
      </c>
      <c r="F11" s="89">
        <f>+'SEG.PTAL-DR '!L28+'SEG.PTAL-DR '!L29</f>
        <v>213723340</v>
      </c>
      <c r="G11" s="89">
        <f>+'SEG.PTAL-DR '!M28+'SEG.PTAL-DR '!M29</f>
        <v>213723340</v>
      </c>
      <c r="H11" s="89">
        <f>+'EJECUCION AGENCIA'!M101+'EJECUCION AGENCIA'!M104</f>
        <v>123955882</v>
      </c>
      <c r="I11" s="90">
        <f t="shared" si="0"/>
        <v>0.21292060674858038</v>
      </c>
      <c r="J11" s="90">
        <f>+F11/C11</f>
        <v>5.755725037338659E-2</v>
      </c>
      <c r="K11" s="105"/>
    </row>
    <row r="12" spans="2:12" ht="65.25" customHeight="1" thickBot="1" x14ac:dyDescent="0.35">
      <c r="B12" s="92" t="str">
        <f>+'[1]SEG.PTAL-DR '!H27</f>
        <v>FORTALECIMIENTO DE LAS CAPACIDADES DE LA ANDJE PARA MEJORAR LA EFICIENCIA DE LAS ENTIDADES DEL NIVEL NACIONAL QUE HACEN PARTE DEL SISTEMA DE DEFENSA JURIDICA.</v>
      </c>
      <c r="C12" s="89">
        <f>+'EJECUCION AGENCIA'!I107+'EJECUCION AGENCIA'!I110</f>
        <v>8553096458</v>
      </c>
      <c r="D12" s="89">
        <f>'EJECUCION AGENCIA'!J107+'EJECUCION AGENCIA'!J110</f>
        <v>6965317367</v>
      </c>
      <c r="E12" s="310">
        <f>+'EJECUCION AGENCIA'!L107+'EJECUCION AGENCIA'!L110</f>
        <v>529999999.80000019</v>
      </c>
      <c r="F12" s="89">
        <f>+'SEG.PTAL-DR '!L30+'SEG.PTAL-DR '!L31</f>
        <v>1043605675</v>
      </c>
      <c r="G12" s="89">
        <f>+'SEG.PTAL-DR '!M30+'SEG.PTAL-DR '!M31</f>
        <v>1043605675</v>
      </c>
      <c r="H12" s="89">
        <f>+'EJECUCION AGENCIA'!M107+'EJECUCION AGENCIA'!M110</f>
        <v>1057779091.1999998</v>
      </c>
      <c r="I12" s="90">
        <f t="shared" si="0"/>
        <v>0.81436207357220947</v>
      </c>
      <c r="J12" s="90">
        <f>+F12/C12</f>
        <v>0.12201495448164627</v>
      </c>
      <c r="K12" s="105"/>
    </row>
    <row r="13" spans="2:12" ht="23.4" customHeight="1" thickBot="1" x14ac:dyDescent="0.35">
      <c r="B13" s="94" t="s">
        <v>224</v>
      </c>
      <c r="C13" s="95">
        <f t="shared" ref="C13:H13" si="4">SUM(C11:C12)</f>
        <v>12266327000</v>
      </c>
      <c r="D13" s="95">
        <f t="shared" si="4"/>
        <v>7755940667</v>
      </c>
      <c r="E13" s="95">
        <f t="shared" si="4"/>
        <v>3328651359.8000002</v>
      </c>
      <c r="F13" s="95">
        <f t="shared" si="4"/>
        <v>1257329015</v>
      </c>
      <c r="G13" s="95">
        <f t="shared" si="4"/>
        <v>1257329015</v>
      </c>
      <c r="H13" s="95">
        <f t="shared" si="4"/>
        <v>1181734973.1999998</v>
      </c>
      <c r="I13" s="96">
        <f t="shared" si="0"/>
        <v>0.63229528016006753</v>
      </c>
      <c r="J13" s="96">
        <f>+F13/C13</f>
        <v>0.10250248627808471</v>
      </c>
      <c r="K13" s="105"/>
    </row>
    <row r="14" spans="2:12" ht="42" customHeight="1" thickBot="1" x14ac:dyDescent="0.35">
      <c r="B14" s="97" t="s">
        <v>273</v>
      </c>
      <c r="C14" s="98">
        <f>+C10+C13</f>
        <v>146057319999</v>
      </c>
      <c r="D14" s="98">
        <f>+D10+D13</f>
        <v>69849664116.020004</v>
      </c>
      <c r="E14" s="98">
        <f t="shared" ref="E14:H14" si="5">+E10+E13</f>
        <v>68276071257.419998</v>
      </c>
      <c r="F14" s="98">
        <f t="shared" si="5"/>
        <v>34959379523.809998</v>
      </c>
      <c r="G14" s="98">
        <f t="shared" si="5"/>
        <v>34841571694.139999</v>
      </c>
      <c r="H14" s="98">
        <f t="shared" si="5"/>
        <v>7931584625.4800005</v>
      </c>
      <c r="I14" s="99">
        <f t="shared" si="0"/>
        <v>0.47823460074783131</v>
      </c>
      <c r="J14" s="284">
        <f>+F14/C14</f>
        <v>0.23935383398825441</v>
      </c>
      <c r="K14" s="105"/>
    </row>
    <row r="15" spans="2:12" ht="34.950000000000003" customHeight="1" thickBot="1" x14ac:dyDescent="0.35">
      <c r="B15" s="92" t="s">
        <v>299</v>
      </c>
      <c r="C15" s="89">
        <v>13294500000</v>
      </c>
      <c r="D15" s="89"/>
      <c r="E15" s="89"/>
      <c r="F15" s="89"/>
      <c r="G15" s="89"/>
      <c r="H15" s="89"/>
      <c r="I15" s="90"/>
      <c r="J15" s="90"/>
      <c r="K15" s="93"/>
    </row>
    <row r="16" spans="2:12" ht="25.8" customHeight="1" thickBot="1" x14ac:dyDescent="0.35">
      <c r="B16" s="97" t="s">
        <v>276</v>
      </c>
      <c r="C16" s="98">
        <f>+C14+C15</f>
        <v>159351819999</v>
      </c>
      <c r="D16" s="98">
        <f>+D14</f>
        <v>69849664116.020004</v>
      </c>
      <c r="E16" s="98">
        <f>+E14</f>
        <v>68276071257.419998</v>
      </c>
      <c r="F16" s="98">
        <f>+F14</f>
        <v>34959379523.809998</v>
      </c>
      <c r="G16" s="98">
        <f>+G14</f>
        <v>34841571694.139999</v>
      </c>
      <c r="H16" s="98">
        <f>+H14</f>
        <v>7931584625.4800005</v>
      </c>
      <c r="I16" s="99">
        <f>+D16/C16</f>
        <v>0.43833615528494335</v>
      </c>
      <c r="J16" s="284">
        <f>+F16/C16</f>
        <v>0.21938487758739988</v>
      </c>
      <c r="K16" s="311"/>
    </row>
    <row r="17" spans="3:7" x14ac:dyDescent="0.3">
      <c r="C17" s="105"/>
    </row>
    <row r="18" spans="3:7" x14ac:dyDescent="0.3">
      <c r="D18" s="87" t="s">
        <v>24</v>
      </c>
    </row>
    <row r="19" spans="3:7" x14ac:dyDescent="0.3">
      <c r="C19" s="105"/>
      <c r="D19" s="265"/>
    </row>
    <row r="20" spans="3:7" x14ac:dyDescent="0.3">
      <c r="D20" s="265"/>
      <c r="E20" s="105"/>
      <c r="F20" s="105"/>
    </row>
    <row r="21" spans="3:7" x14ac:dyDescent="0.3">
      <c r="C21" s="105"/>
      <c r="D21" s="265"/>
      <c r="E21" s="105"/>
    </row>
    <row r="22" spans="3:7" x14ac:dyDescent="0.3">
      <c r="D22" s="266"/>
      <c r="G22" s="105"/>
    </row>
    <row r="24" spans="3:7" x14ac:dyDescent="0.3">
      <c r="D24" s="267"/>
    </row>
    <row r="26" spans="3:7" x14ac:dyDescent="0.3">
      <c r="D26" s="10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54" orientation="landscape" r:id="rId1"/>
  <headerFooter>
    <oddFooter>&amp;LGF-F-17&amp;RV:0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2BD68F26DDB546B764B5639E076F7A" ma:contentTypeVersion="0" ma:contentTypeDescription="Crear nuevo documento." ma:contentTypeScope="" ma:versionID="364da2b6d53de9ef1a4deed2291711c4">
  <xsd:schema xmlns:xsd="http://www.w3.org/2001/XMLSchema" xmlns:xs="http://www.w3.org/2001/XMLSchema" xmlns:p="http://schemas.microsoft.com/office/2006/metadata/properties" xmlns:ns2="40839eeb-5a66-4e6e-aa47-122bf840a467" targetNamespace="http://schemas.microsoft.com/office/2006/metadata/properties" ma:root="true" ma:fieldsID="16156e2dd3f6ea9c4a6088cdf7d7cb3c" ns2:_="">
    <xsd:import namespace="40839eeb-5a66-4e6e-aa47-122bf840a467"/>
    <xsd:element name="properties">
      <xsd:complexType>
        <xsd:sequence>
          <xsd:element name="documentManagement">
            <xsd:complexType>
              <xsd:all>
                <xsd:element ref="ns2:Orde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39eeb-5a66-4e6e-aa47-122bf840a467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decimals="0" ma:internalName="Orden">
      <xsd:simpleType>
        <xsd:restriction base="dms:Number">
          <xsd:minInclusive value="1"/>
        </xsd:restriction>
      </xsd:simpleType>
    </xsd:element>
    <xsd:element name="_dlc_DocId" ma:index="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40839eeb-5a66-4e6e-aa47-122bf840a467" xsi:nil="true"/>
    <_dlc_DocId xmlns="40839eeb-5a66-4e6e-aa47-122bf840a467">6VQC4QCV76MK-1797982362-22</_dlc_DocId>
    <_dlc_DocIdUrl xmlns="40839eeb-5a66-4e6e-aa47-122bf840a467">
      <Url>https://www.defensajuridica.gov.co/gestion/presupuesto-seguimiento-presupuestal/ejecucion-presupuestal/_layouts/15/DocIdRedir.aspx?ID=6VQC4QCV76MK-1797982362-22</Url>
      <Description>6VQC4QCV76MK-1797982362-22</Description>
    </_dlc_DocIdUrl>
  </documentManagement>
</p:properties>
</file>

<file path=customXml/itemProps1.xml><?xml version="1.0" encoding="utf-8"?>
<ds:datastoreItem xmlns:ds="http://schemas.openxmlformats.org/officeDocument/2006/customXml" ds:itemID="{D5F25A51-1879-41CF-B216-EF1B1EF7B42A}"/>
</file>

<file path=customXml/itemProps2.xml><?xml version="1.0" encoding="utf-8"?>
<ds:datastoreItem xmlns:ds="http://schemas.openxmlformats.org/officeDocument/2006/customXml" ds:itemID="{97EC0038-D80C-4AF1-9430-B155BEF45745}"/>
</file>

<file path=customXml/itemProps3.xml><?xml version="1.0" encoding="utf-8"?>
<ds:datastoreItem xmlns:ds="http://schemas.openxmlformats.org/officeDocument/2006/customXml" ds:itemID="{36F5C4F5-480A-436C-9E63-04B187FA4FDC}"/>
</file>

<file path=customXml/itemProps4.xml><?xml version="1.0" encoding="utf-8"?>
<ds:datastoreItem xmlns:ds="http://schemas.openxmlformats.org/officeDocument/2006/customXml" ds:itemID="{2A8CF5E6-E04E-4982-BEF5-3C2E842272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EJECUCION AGENCIA</vt:lpstr>
      <vt:lpstr>SEG.PTAL-DR </vt:lpstr>
      <vt:lpstr>INF SECRETARÍA GRAL </vt:lpstr>
      <vt:lpstr>EJ. AGREGADA</vt:lpstr>
      <vt:lpstr>EJ. DESAGREGADA</vt:lpstr>
      <vt:lpstr>INF SECRETARÍA GRAL  (2)</vt:lpstr>
      <vt:lpstr>'EJECUCION AGENCIA'!Área_de_impresión</vt:lpstr>
      <vt:lpstr>'SEG.PTAL-DR '!Área_de_impresión</vt:lpstr>
      <vt:lpstr>'EJECUCION AGENCIA'!Títulos_a_imprimir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Casallas Corredor</dc:creator>
  <cp:lastModifiedBy>Paola Andrea Rojas Mendieta</cp:lastModifiedBy>
  <cp:lastPrinted>2025-06-04T17:05:56Z</cp:lastPrinted>
  <dcterms:created xsi:type="dcterms:W3CDTF">2012-04-02T22:31:08Z</dcterms:created>
  <dcterms:modified xsi:type="dcterms:W3CDTF">2025-07-22T13:23:08Z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0x010100102BD68F26DDB546B764B5639E076F7A</vt:lpwstr>
  </property>
  <property fmtid="{D5CDD505-2E9C-101B-9397-08002B2CF9AE}" pid="3" name="_dlc_DocIdItemGuid">
    <vt:lpwstr>42599b09-732d-42d9-8d63-ddfbf9b3e27c</vt:lpwstr>
  </property>
</Properties>
</file>