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hanna.guevara\Downloads\"/>
    </mc:Choice>
  </mc:AlternateContent>
  <xr:revisionPtr revIDLastSave="0" documentId="8_{9DB6D923-DCAD-4E9B-BD09-BF33C0D1E0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ON PRESUPUESTAL " sheetId="5" r:id="rId1"/>
    <sheet name="EJE DESAGREGADA" sheetId="1" r:id="rId2"/>
    <sheet name="EJE DECRETO" sheetId="2" r:id="rId3"/>
    <sheet name="SEG.PTAL-DR " sheetId="3" r:id="rId4"/>
    <sheet name="INFO-SGG" sheetId="4" r:id="rId5"/>
  </sheets>
  <externalReferences>
    <externalReference r:id="rId6"/>
    <externalReference r:id="rId7"/>
  </externalReferences>
  <definedNames>
    <definedName name="_xlnm.Print_Area" localSheetId="3">'SEG.PTAL-DR '!$A$1:$Q$162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1" i="5" l="1"/>
  <c r="P110" i="5" s="1"/>
  <c r="Q110" i="5" s="1"/>
  <c r="N111" i="5"/>
  <c r="O111" i="5" s="1"/>
  <c r="M111" i="5"/>
  <c r="L111" i="5"/>
  <c r="J111" i="5"/>
  <c r="K111" i="5" s="1"/>
  <c r="I111" i="5"/>
  <c r="N110" i="5"/>
  <c r="O110" i="5" s="1"/>
  <c r="M110" i="5"/>
  <c r="L110" i="5"/>
  <c r="K110" i="5"/>
  <c r="J110" i="5"/>
  <c r="I110" i="5"/>
  <c r="P109" i="5"/>
  <c r="P108" i="5" s="1"/>
  <c r="N109" i="5"/>
  <c r="M109" i="5"/>
  <c r="M108" i="5" s="1"/>
  <c r="L109" i="5"/>
  <c r="L108" i="5" s="1"/>
  <c r="J109" i="5"/>
  <c r="J108" i="5" s="1"/>
  <c r="I109" i="5"/>
  <c r="I108" i="5" s="1"/>
  <c r="P107" i="5"/>
  <c r="P106" i="5" s="1"/>
  <c r="M107" i="5"/>
  <c r="L107" i="5"/>
  <c r="J107" i="5"/>
  <c r="J106" i="5" s="1"/>
  <c r="I107" i="5"/>
  <c r="I106" i="5" s="1"/>
  <c r="I105" i="5" s="1"/>
  <c r="I104" i="5" s="1"/>
  <c r="P103" i="5"/>
  <c r="P102" i="5" s="1"/>
  <c r="N103" i="5"/>
  <c r="M103" i="5"/>
  <c r="M102" i="5" s="1"/>
  <c r="M101" i="5" s="1"/>
  <c r="M94" i="5" s="1"/>
  <c r="M93" i="5" s="1"/>
  <c r="L103" i="5"/>
  <c r="K103" i="5"/>
  <c r="J103" i="5"/>
  <c r="J102" i="5" s="1"/>
  <c r="I103" i="5"/>
  <c r="I102" i="5" s="1"/>
  <c r="L102" i="5"/>
  <c r="K102" i="5"/>
  <c r="L101" i="5"/>
  <c r="J101" i="5"/>
  <c r="K101" i="5" s="1"/>
  <c r="I101" i="5"/>
  <c r="P100" i="5"/>
  <c r="P99" i="5" s="1"/>
  <c r="N100" i="5"/>
  <c r="N99" i="5" s="1"/>
  <c r="O99" i="5" s="1"/>
  <c r="M100" i="5"/>
  <c r="L100" i="5"/>
  <c r="J100" i="5"/>
  <c r="K100" i="5" s="1"/>
  <c r="I100" i="5"/>
  <c r="M99" i="5"/>
  <c r="L99" i="5"/>
  <c r="J99" i="5"/>
  <c r="K99" i="5" s="1"/>
  <c r="I99" i="5"/>
  <c r="M98" i="5"/>
  <c r="L98" i="5"/>
  <c r="J98" i="5"/>
  <c r="K98" i="5" s="1"/>
  <c r="I98" i="5"/>
  <c r="Q97" i="5"/>
  <c r="P97" i="5"/>
  <c r="N97" i="5"/>
  <c r="M97" i="5"/>
  <c r="L97" i="5"/>
  <c r="J97" i="5"/>
  <c r="I97" i="5"/>
  <c r="P96" i="5"/>
  <c r="Q96" i="5" s="1"/>
  <c r="O96" i="5"/>
  <c r="N96" i="5"/>
  <c r="M96" i="5"/>
  <c r="M95" i="5" s="1"/>
  <c r="L96" i="5"/>
  <c r="L95" i="5" s="1"/>
  <c r="J96" i="5"/>
  <c r="I96" i="5"/>
  <c r="I95" i="5" s="1"/>
  <c r="N95" i="5"/>
  <c r="L94" i="5"/>
  <c r="L93" i="5" s="1"/>
  <c r="P91" i="5"/>
  <c r="N91" i="5"/>
  <c r="N90" i="5" s="1"/>
  <c r="M91" i="5"/>
  <c r="M90" i="5" s="1"/>
  <c r="M89" i="5" s="1"/>
  <c r="M120" i="5" s="1"/>
  <c r="L91" i="5"/>
  <c r="L90" i="5" s="1"/>
  <c r="L89" i="5" s="1"/>
  <c r="L120" i="5" s="1"/>
  <c r="K91" i="5"/>
  <c r="J91" i="5"/>
  <c r="J90" i="5" s="1"/>
  <c r="I91" i="5"/>
  <c r="I90" i="5"/>
  <c r="I89" i="5" s="1"/>
  <c r="P88" i="5"/>
  <c r="N88" i="5"/>
  <c r="M88" i="5"/>
  <c r="L88" i="5"/>
  <c r="L87" i="5" s="1"/>
  <c r="L86" i="5" s="1"/>
  <c r="J88" i="5"/>
  <c r="J87" i="5" s="1"/>
  <c r="I88" i="5"/>
  <c r="P87" i="5"/>
  <c r="P86" i="5" s="1"/>
  <c r="N87" i="5"/>
  <c r="N86" i="5" s="1"/>
  <c r="M87" i="5"/>
  <c r="M86" i="5" s="1"/>
  <c r="J86" i="5"/>
  <c r="P85" i="5"/>
  <c r="Q85" i="5" s="1"/>
  <c r="N85" i="5"/>
  <c r="M85" i="5"/>
  <c r="M83" i="5" s="1"/>
  <c r="M82" i="5" s="1"/>
  <c r="L85" i="5"/>
  <c r="L83" i="5" s="1"/>
  <c r="L82" i="5" s="1"/>
  <c r="J85" i="5"/>
  <c r="K85" i="5" s="1"/>
  <c r="I85" i="5"/>
  <c r="Q84" i="5"/>
  <c r="P84" i="5"/>
  <c r="N84" i="5"/>
  <c r="O84" i="5" s="1"/>
  <c r="M84" i="5"/>
  <c r="L84" i="5"/>
  <c r="J84" i="5"/>
  <c r="K84" i="5" s="1"/>
  <c r="I84" i="5"/>
  <c r="P83" i="5"/>
  <c r="J83" i="5"/>
  <c r="I83" i="5"/>
  <c r="I82" i="5" s="1"/>
  <c r="P82" i="5"/>
  <c r="Q82" i="5" s="1"/>
  <c r="P81" i="5"/>
  <c r="N81" i="5"/>
  <c r="M81" i="5"/>
  <c r="M80" i="5" s="1"/>
  <c r="M79" i="5" s="1"/>
  <c r="L81" i="5"/>
  <c r="L80" i="5" s="1"/>
  <c r="L79" i="5" s="1"/>
  <c r="J81" i="5"/>
  <c r="K81" i="5" s="1"/>
  <c r="I81" i="5"/>
  <c r="P80" i="5"/>
  <c r="J80" i="5"/>
  <c r="I80" i="5"/>
  <c r="I79" i="5"/>
  <c r="M78" i="5"/>
  <c r="M119" i="5" s="1"/>
  <c r="L78" i="5"/>
  <c r="L119" i="5" s="1"/>
  <c r="P77" i="5"/>
  <c r="Q77" i="5" s="1"/>
  <c r="N77" i="5"/>
  <c r="O77" i="5" s="1"/>
  <c r="M77" i="5"/>
  <c r="L77" i="5"/>
  <c r="K77" i="5"/>
  <c r="J77" i="5"/>
  <c r="I77" i="5"/>
  <c r="P76" i="5"/>
  <c r="N76" i="5"/>
  <c r="O76" i="5" s="1"/>
  <c r="M76" i="5"/>
  <c r="L76" i="5"/>
  <c r="J76" i="5"/>
  <c r="K76" i="5" s="1"/>
  <c r="I76" i="5"/>
  <c r="P75" i="5"/>
  <c r="Q75" i="5" s="1"/>
  <c r="N75" i="5"/>
  <c r="O75" i="5" s="1"/>
  <c r="M75" i="5"/>
  <c r="L75" i="5"/>
  <c r="J75" i="5"/>
  <c r="K75" i="5" s="1"/>
  <c r="I75" i="5"/>
  <c r="P74" i="5"/>
  <c r="N74" i="5"/>
  <c r="M74" i="5"/>
  <c r="L74" i="5"/>
  <c r="J74" i="5"/>
  <c r="I74" i="5"/>
  <c r="P73" i="5"/>
  <c r="N73" i="5"/>
  <c r="O73" i="5" s="1"/>
  <c r="M73" i="5"/>
  <c r="L73" i="5"/>
  <c r="L72" i="5" s="1"/>
  <c r="J73" i="5"/>
  <c r="K73" i="5" s="1"/>
  <c r="I73" i="5"/>
  <c r="N72" i="5"/>
  <c r="M72" i="5"/>
  <c r="P71" i="5"/>
  <c r="Q71" i="5" s="1"/>
  <c r="N71" i="5"/>
  <c r="O71" i="5" s="1"/>
  <c r="M71" i="5"/>
  <c r="L71" i="5"/>
  <c r="J71" i="5"/>
  <c r="K71" i="5" s="1"/>
  <c r="I71" i="5"/>
  <c r="P70" i="5"/>
  <c r="Q70" i="5" s="1"/>
  <c r="N70" i="5"/>
  <c r="O70" i="5" s="1"/>
  <c r="M70" i="5"/>
  <c r="L70" i="5"/>
  <c r="K70" i="5"/>
  <c r="J70" i="5"/>
  <c r="I70" i="5"/>
  <c r="P69" i="5"/>
  <c r="N69" i="5"/>
  <c r="O69" i="5" s="1"/>
  <c r="M69" i="5"/>
  <c r="M65" i="5" s="1"/>
  <c r="L69" i="5"/>
  <c r="L65" i="5" s="1"/>
  <c r="J69" i="5"/>
  <c r="K69" i="5" s="1"/>
  <c r="I69" i="5"/>
  <c r="P68" i="5"/>
  <c r="N68" i="5"/>
  <c r="O68" i="5" s="1"/>
  <c r="M68" i="5"/>
  <c r="L68" i="5"/>
  <c r="J68" i="5"/>
  <c r="K68" i="5" s="1"/>
  <c r="I68" i="5"/>
  <c r="Q68" i="5" s="1"/>
  <c r="P67" i="5"/>
  <c r="P65" i="5" s="1"/>
  <c r="N67" i="5"/>
  <c r="M67" i="5"/>
  <c r="L67" i="5"/>
  <c r="J67" i="5"/>
  <c r="I67" i="5"/>
  <c r="O67" i="5" s="1"/>
  <c r="P66" i="5"/>
  <c r="N66" i="5"/>
  <c r="M66" i="5"/>
  <c r="L66" i="5"/>
  <c r="J66" i="5"/>
  <c r="I66" i="5"/>
  <c r="P64" i="5"/>
  <c r="Q64" i="5" s="1"/>
  <c r="N64" i="5"/>
  <c r="O64" i="5" s="1"/>
  <c r="M64" i="5"/>
  <c r="L64" i="5"/>
  <c r="J64" i="5"/>
  <c r="K64" i="5" s="1"/>
  <c r="I64" i="5"/>
  <c r="P63" i="5"/>
  <c r="N63" i="5"/>
  <c r="M63" i="5"/>
  <c r="M61" i="5" s="1"/>
  <c r="L63" i="5"/>
  <c r="L61" i="5" s="1"/>
  <c r="J63" i="5"/>
  <c r="J61" i="5" s="1"/>
  <c r="I63" i="5"/>
  <c r="I61" i="5" s="1"/>
  <c r="P62" i="5"/>
  <c r="N62" i="5"/>
  <c r="O62" i="5" s="1"/>
  <c r="M62" i="5"/>
  <c r="L62" i="5"/>
  <c r="K62" i="5"/>
  <c r="J62" i="5"/>
  <c r="I62" i="5"/>
  <c r="P60" i="5"/>
  <c r="Q60" i="5" s="1"/>
  <c r="N60" i="5"/>
  <c r="N56" i="5" s="1"/>
  <c r="M60" i="5"/>
  <c r="L60" i="5"/>
  <c r="J60" i="5"/>
  <c r="I60" i="5"/>
  <c r="P59" i="5"/>
  <c r="Q59" i="5" s="1"/>
  <c r="N59" i="5"/>
  <c r="O59" i="5" s="1"/>
  <c r="M59" i="5"/>
  <c r="M56" i="5" s="1"/>
  <c r="L59" i="5"/>
  <c r="J59" i="5"/>
  <c r="K59" i="5" s="1"/>
  <c r="I59" i="5"/>
  <c r="P58" i="5"/>
  <c r="N58" i="5"/>
  <c r="O58" i="5" s="1"/>
  <c r="M58" i="5"/>
  <c r="L58" i="5"/>
  <c r="J58" i="5"/>
  <c r="K58" i="5" s="1"/>
  <c r="I58" i="5"/>
  <c r="P57" i="5"/>
  <c r="N57" i="5"/>
  <c r="M57" i="5"/>
  <c r="L57" i="5"/>
  <c r="J57" i="5"/>
  <c r="J56" i="5" s="1"/>
  <c r="I57" i="5"/>
  <c r="I56" i="5" s="1"/>
  <c r="L56" i="5"/>
  <c r="P55" i="5"/>
  <c r="N55" i="5"/>
  <c r="M55" i="5"/>
  <c r="L55" i="5"/>
  <c r="J55" i="5"/>
  <c r="I55" i="5"/>
  <c r="P54" i="5"/>
  <c r="Q54" i="5" s="1"/>
  <c r="N54" i="5"/>
  <c r="O54" i="5" s="1"/>
  <c r="M54" i="5"/>
  <c r="L54" i="5"/>
  <c r="J54" i="5"/>
  <c r="K54" i="5" s="1"/>
  <c r="I54" i="5"/>
  <c r="P53" i="5"/>
  <c r="Q53" i="5" s="1"/>
  <c r="O53" i="5"/>
  <c r="N53" i="5"/>
  <c r="M53" i="5"/>
  <c r="L53" i="5"/>
  <c r="J53" i="5"/>
  <c r="K53" i="5" s="1"/>
  <c r="I53" i="5"/>
  <c r="P52" i="5"/>
  <c r="N52" i="5"/>
  <c r="M52" i="5"/>
  <c r="L52" i="5"/>
  <c r="J52" i="5"/>
  <c r="K52" i="5" s="1"/>
  <c r="I52" i="5"/>
  <c r="Q51" i="5"/>
  <c r="P51" i="5"/>
  <c r="N51" i="5"/>
  <c r="M51" i="5"/>
  <c r="L51" i="5"/>
  <c r="L50" i="5" s="1"/>
  <c r="K51" i="5"/>
  <c r="J51" i="5"/>
  <c r="I51" i="5"/>
  <c r="P50" i="5"/>
  <c r="P49" i="5"/>
  <c r="Q49" i="5" s="1"/>
  <c r="N49" i="5"/>
  <c r="O49" i="5" s="1"/>
  <c r="M49" i="5"/>
  <c r="L49" i="5"/>
  <c r="J49" i="5"/>
  <c r="K49" i="5" s="1"/>
  <c r="I49" i="5"/>
  <c r="Q48" i="5"/>
  <c r="P48" i="5"/>
  <c r="N48" i="5"/>
  <c r="O48" i="5" s="1"/>
  <c r="M48" i="5"/>
  <c r="L48" i="5"/>
  <c r="J48" i="5"/>
  <c r="K48" i="5" s="1"/>
  <c r="I48" i="5"/>
  <c r="P47" i="5"/>
  <c r="N47" i="5"/>
  <c r="M47" i="5"/>
  <c r="L47" i="5"/>
  <c r="J47" i="5"/>
  <c r="I47" i="5"/>
  <c r="Q47" i="5" s="1"/>
  <c r="P46" i="5"/>
  <c r="N46" i="5"/>
  <c r="O46" i="5" s="1"/>
  <c r="M46" i="5"/>
  <c r="L46" i="5"/>
  <c r="K46" i="5"/>
  <c r="J46" i="5"/>
  <c r="I46" i="5"/>
  <c r="P45" i="5"/>
  <c r="Q45" i="5" s="1"/>
  <c r="N45" i="5"/>
  <c r="O45" i="5" s="1"/>
  <c r="M45" i="5"/>
  <c r="L45" i="5"/>
  <c r="J45" i="5"/>
  <c r="K45" i="5" s="1"/>
  <c r="I45" i="5"/>
  <c r="P44" i="5"/>
  <c r="N44" i="5"/>
  <c r="M44" i="5"/>
  <c r="M43" i="5" s="1"/>
  <c r="L44" i="5"/>
  <c r="L43" i="5" s="1"/>
  <c r="J44" i="5"/>
  <c r="I44" i="5"/>
  <c r="P42" i="5"/>
  <c r="Q42" i="5" s="1"/>
  <c r="N42" i="5"/>
  <c r="M42" i="5"/>
  <c r="L42" i="5"/>
  <c r="J42" i="5"/>
  <c r="K42" i="5" s="1"/>
  <c r="I42" i="5"/>
  <c r="P41" i="5"/>
  <c r="P39" i="5" s="1"/>
  <c r="N41" i="5"/>
  <c r="M41" i="5"/>
  <c r="L41" i="5"/>
  <c r="J41" i="5"/>
  <c r="I41" i="5"/>
  <c r="I39" i="5" s="1"/>
  <c r="P40" i="5"/>
  <c r="Q40" i="5" s="1"/>
  <c r="N40" i="5"/>
  <c r="O40" i="5" s="1"/>
  <c r="M40" i="5"/>
  <c r="M39" i="5" s="1"/>
  <c r="L40" i="5"/>
  <c r="J40" i="5"/>
  <c r="K40" i="5" s="1"/>
  <c r="I40" i="5"/>
  <c r="N39" i="5"/>
  <c r="P34" i="5"/>
  <c r="N34" i="5"/>
  <c r="O34" i="5" s="1"/>
  <c r="M34" i="5"/>
  <c r="L34" i="5"/>
  <c r="J34" i="5"/>
  <c r="K34" i="5" s="1"/>
  <c r="I34" i="5"/>
  <c r="P33" i="5"/>
  <c r="Q33" i="5" s="1"/>
  <c r="N33" i="5"/>
  <c r="O33" i="5" s="1"/>
  <c r="M33" i="5"/>
  <c r="L33" i="5"/>
  <c r="J33" i="5"/>
  <c r="K33" i="5" s="1"/>
  <c r="I33" i="5"/>
  <c r="Q32" i="5"/>
  <c r="P32" i="5"/>
  <c r="N32" i="5"/>
  <c r="M32" i="5"/>
  <c r="L32" i="5"/>
  <c r="J32" i="5"/>
  <c r="K32" i="5" s="1"/>
  <c r="I32" i="5"/>
  <c r="P31" i="5"/>
  <c r="N31" i="5"/>
  <c r="M31" i="5"/>
  <c r="L31" i="5"/>
  <c r="L26" i="5" s="1"/>
  <c r="J31" i="5"/>
  <c r="I31" i="5"/>
  <c r="P30" i="5"/>
  <c r="Q30" i="5" s="1"/>
  <c r="O30" i="5"/>
  <c r="N30" i="5"/>
  <c r="M30" i="5"/>
  <c r="L30" i="5"/>
  <c r="J30" i="5"/>
  <c r="K30" i="5" s="1"/>
  <c r="I30" i="5"/>
  <c r="P29" i="5"/>
  <c r="N29" i="5"/>
  <c r="M29" i="5"/>
  <c r="L29" i="5"/>
  <c r="J29" i="5"/>
  <c r="I29" i="5"/>
  <c r="I27" i="5" s="1"/>
  <c r="P28" i="5"/>
  <c r="N28" i="5"/>
  <c r="N27" i="5" s="1"/>
  <c r="O27" i="5" s="1"/>
  <c r="M28" i="5"/>
  <c r="L28" i="5"/>
  <c r="J28" i="5"/>
  <c r="I28" i="5"/>
  <c r="L27" i="5"/>
  <c r="J27" i="5"/>
  <c r="P25" i="5"/>
  <c r="N25" i="5"/>
  <c r="M25" i="5"/>
  <c r="L25" i="5"/>
  <c r="J25" i="5"/>
  <c r="I25" i="5"/>
  <c r="O25" i="5" s="1"/>
  <c r="Q24" i="5"/>
  <c r="P24" i="5"/>
  <c r="N24" i="5"/>
  <c r="O24" i="5" s="1"/>
  <c r="M24" i="5"/>
  <c r="L24" i="5"/>
  <c r="K24" i="5"/>
  <c r="J24" i="5"/>
  <c r="I24" i="5"/>
  <c r="P23" i="5"/>
  <c r="Q23" i="5" s="1"/>
  <c r="N23" i="5"/>
  <c r="O23" i="5" s="1"/>
  <c r="M23" i="5"/>
  <c r="L23" i="5"/>
  <c r="K23" i="5"/>
  <c r="J23" i="5"/>
  <c r="I23" i="5"/>
  <c r="P22" i="5"/>
  <c r="Q22" i="5" s="1"/>
  <c r="N22" i="5"/>
  <c r="N18" i="5" s="1"/>
  <c r="M22" i="5"/>
  <c r="L22" i="5"/>
  <c r="J22" i="5"/>
  <c r="K22" i="5" s="1"/>
  <c r="I22" i="5"/>
  <c r="P21" i="5"/>
  <c r="N21" i="5"/>
  <c r="M21" i="5"/>
  <c r="L21" i="5"/>
  <c r="J21" i="5"/>
  <c r="I21" i="5"/>
  <c r="P20" i="5"/>
  <c r="N20" i="5"/>
  <c r="M20" i="5"/>
  <c r="L20" i="5"/>
  <c r="J20" i="5"/>
  <c r="K20" i="5" s="1"/>
  <c r="I20" i="5"/>
  <c r="Q20" i="5" s="1"/>
  <c r="Q19" i="5"/>
  <c r="P19" i="5"/>
  <c r="N19" i="5"/>
  <c r="O19" i="5" s="1"/>
  <c r="M19" i="5"/>
  <c r="L19" i="5"/>
  <c r="J19" i="5"/>
  <c r="I19" i="5"/>
  <c r="P17" i="5"/>
  <c r="P11" i="5" s="1"/>
  <c r="N17" i="5"/>
  <c r="O17" i="5" s="1"/>
  <c r="M17" i="5"/>
  <c r="L17" i="5"/>
  <c r="J17" i="5"/>
  <c r="K17" i="5" s="1"/>
  <c r="I17" i="5"/>
  <c r="P16" i="5"/>
  <c r="P10" i="5" s="1"/>
  <c r="N16" i="5"/>
  <c r="O16" i="5" s="1"/>
  <c r="M16" i="5"/>
  <c r="L16" i="5"/>
  <c r="K16" i="5"/>
  <c r="J16" i="5"/>
  <c r="I16" i="5"/>
  <c r="P15" i="5"/>
  <c r="Q15" i="5" s="1"/>
  <c r="N15" i="5"/>
  <c r="O15" i="5" s="1"/>
  <c r="M15" i="5"/>
  <c r="L15" i="5"/>
  <c r="J15" i="5"/>
  <c r="K15" i="5" s="1"/>
  <c r="I15" i="5"/>
  <c r="P14" i="5"/>
  <c r="N14" i="5"/>
  <c r="O14" i="5" s="1"/>
  <c r="M14" i="5"/>
  <c r="L14" i="5"/>
  <c r="J14" i="5"/>
  <c r="I14" i="5"/>
  <c r="I11" i="5" s="1"/>
  <c r="I10" i="5" s="1"/>
  <c r="Q13" i="5"/>
  <c r="P13" i="5"/>
  <c r="N13" i="5"/>
  <c r="M13" i="5"/>
  <c r="L13" i="5"/>
  <c r="K13" i="5"/>
  <c r="J13" i="5"/>
  <c r="I13" i="5"/>
  <c r="Q12" i="5"/>
  <c r="P12" i="5"/>
  <c r="N12" i="5"/>
  <c r="M12" i="5"/>
  <c r="L12" i="5"/>
  <c r="J12" i="5"/>
  <c r="J11" i="5" s="1"/>
  <c r="I12" i="5"/>
  <c r="N11" i="5"/>
  <c r="J10" i="5"/>
  <c r="K10" i="5" s="1"/>
  <c r="K19" i="5" l="1"/>
  <c r="J18" i="5"/>
  <c r="K41" i="5"/>
  <c r="J39" i="5"/>
  <c r="O90" i="5"/>
  <c r="N89" i="5"/>
  <c r="I65" i="5"/>
  <c r="Q65" i="5" s="1"/>
  <c r="O66" i="5"/>
  <c r="Q66" i="5"/>
  <c r="Q31" i="5"/>
  <c r="K66" i="5"/>
  <c r="J65" i="5"/>
  <c r="K65" i="5" s="1"/>
  <c r="M38" i="5"/>
  <c r="M37" i="5" s="1"/>
  <c r="M36" i="5" s="1"/>
  <c r="M35" i="5" s="1"/>
  <c r="M118" i="5" s="1"/>
  <c r="I38" i="5"/>
  <c r="I37" i="5" s="1"/>
  <c r="I36" i="5" s="1"/>
  <c r="I35" i="5" s="1"/>
  <c r="I118" i="5" s="1"/>
  <c r="O18" i="5"/>
  <c r="Q39" i="5"/>
  <c r="K31" i="5"/>
  <c r="N102" i="5"/>
  <c r="O103" i="5"/>
  <c r="M27" i="5"/>
  <c r="M26" i="5"/>
  <c r="K47" i="5"/>
  <c r="O39" i="5"/>
  <c r="N43" i="5"/>
  <c r="N108" i="5"/>
  <c r="O109" i="5"/>
  <c r="O47" i="5"/>
  <c r="K14" i="5"/>
  <c r="K29" i="5"/>
  <c r="Q25" i="5"/>
  <c r="L18" i="5"/>
  <c r="M18" i="5"/>
  <c r="K88" i="5"/>
  <c r="O20" i="5"/>
  <c r="Q29" i="5"/>
  <c r="Q14" i="5"/>
  <c r="Q67" i="5"/>
  <c r="N10" i="5"/>
  <c r="Q17" i="5"/>
  <c r="I18" i="5"/>
  <c r="N26" i="5"/>
  <c r="K61" i="5"/>
  <c r="K25" i="5"/>
  <c r="O28" i="5"/>
  <c r="O44" i="5"/>
  <c r="K63" i="5"/>
  <c r="O72" i="5"/>
  <c r="P101" i="5"/>
  <c r="Q101" i="5" s="1"/>
  <c r="Q102" i="5"/>
  <c r="P27" i="5"/>
  <c r="Q27" i="5" s="1"/>
  <c r="P26" i="5"/>
  <c r="Q26" i="5" s="1"/>
  <c r="P43" i="5"/>
  <c r="Q43" i="5" s="1"/>
  <c r="Q50" i="5"/>
  <c r="K56" i="5"/>
  <c r="J82" i="5"/>
  <c r="K82" i="5" s="1"/>
  <c r="K83" i="5"/>
  <c r="O91" i="5"/>
  <c r="Q103" i="5"/>
  <c r="O22" i="5"/>
  <c r="Q28" i="5"/>
  <c r="O31" i="5"/>
  <c r="O41" i="5"/>
  <c r="Q44" i="5"/>
  <c r="K57" i="5"/>
  <c r="K60" i="5"/>
  <c r="P90" i="5"/>
  <c r="Q91" i="5"/>
  <c r="O63" i="5"/>
  <c r="N61" i="5"/>
  <c r="O61" i="5" s="1"/>
  <c r="Q83" i="5"/>
  <c r="Q10" i="5"/>
  <c r="Q41" i="5"/>
  <c r="Q63" i="5"/>
  <c r="O100" i="5"/>
  <c r="O56" i="5"/>
  <c r="I87" i="5"/>
  <c r="Q88" i="5"/>
  <c r="Q99" i="5"/>
  <c r="P98" i="5"/>
  <c r="Q98" i="5" s="1"/>
  <c r="O11" i="5"/>
  <c r="Q57" i="5"/>
  <c r="O60" i="5"/>
  <c r="K87" i="5"/>
  <c r="Q100" i="5"/>
  <c r="O29" i="5"/>
  <c r="P72" i="5"/>
  <c r="Q72" i="5" s="1"/>
  <c r="J79" i="5"/>
  <c r="K80" i="5"/>
  <c r="K11" i="5"/>
  <c r="Q73" i="5"/>
  <c r="K106" i="5"/>
  <c r="J105" i="5"/>
  <c r="K12" i="5"/>
  <c r="I72" i="5"/>
  <c r="Q74" i="5"/>
  <c r="P79" i="5"/>
  <c r="Q80" i="5"/>
  <c r="K107" i="5"/>
  <c r="L10" i="5"/>
  <c r="L11" i="5"/>
  <c r="J72" i="5"/>
  <c r="K72" i="5" s="1"/>
  <c r="Q76" i="5"/>
  <c r="O88" i="5"/>
  <c r="L106" i="5"/>
  <c r="L105" i="5"/>
  <c r="L104" i="5" s="1"/>
  <c r="L113" i="5" s="1"/>
  <c r="L122" i="5" s="1"/>
  <c r="M10" i="5"/>
  <c r="M11" i="5"/>
  <c r="Q11" i="5"/>
  <c r="K27" i="5"/>
  <c r="K74" i="5"/>
  <c r="O95" i="5"/>
  <c r="M106" i="5"/>
  <c r="M105" i="5"/>
  <c r="M104" i="5" s="1"/>
  <c r="M113" i="5" s="1"/>
  <c r="M122" i="5" s="1"/>
  <c r="K21" i="5"/>
  <c r="P95" i="5"/>
  <c r="P56" i="5"/>
  <c r="Q56" i="5" s="1"/>
  <c r="N65" i="5"/>
  <c r="I120" i="5"/>
  <c r="N98" i="5"/>
  <c r="O98" i="5" s="1"/>
  <c r="I43" i="5"/>
  <c r="Q58" i="5"/>
  <c r="O81" i="5"/>
  <c r="N80" i="5"/>
  <c r="I94" i="5"/>
  <c r="I93" i="5" s="1"/>
  <c r="I113" i="5" s="1"/>
  <c r="I122" i="5" s="1"/>
  <c r="P105" i="5"/>
  <c r="Q106" i="5"/>
  <c r="O21" i="5"/>
  <c r="J43" i="5"/>
  <c r="K43" i="5" s="1"/>
  <c r="J95" i="5"/>
  <c r="K96" i="5"/>
  <c r="Q107" i="5"/>
  <c r="P18" i="5"/>
  <c r="Q21" i="5"/>
  <c r="K44" i="5"/>
  <c r="N83" i="5"/>
  <c r="O85" i="5"/>
  <c r="J89" i="5"/>
  <c r="K90" i="5"/>
  <c r="M50" i="5"/>
  <c r="K67" i="5"/>
  <c r="Q108" i="5"/>
  <c r="N50" i="5"/>
  <c r="O50" i="5" s="1"/>
  <c r="Q69" i="5"/>
  <c r="Q109" i="5"/>
  <c r="O51" i="5"/>
  <c r="K97" i="5"/>
  <c r="Q16" i="5"/>
  <c r="K108" i="5"/>
  <c r="O74" i="5"/>
  <c r="K109" i="5"/>
  <c r="Q111" i="5"/>
  <c r="O13" i="5"/>
  <c r="I50" i="5"/>
  <c r="O42" i="5"/>
  <c r="J50" i="5"/>
  <c r="K50" i="5" s="1"/>
  <c r="O57" i="5"/>
  <c r="Q34" i="5"/>
  <c r="O52" i="5"/>
  <c r="I26" i="5"/>
  <c r="I9" i="5" s="1"/>
  <c r="I8" i="5" s="1"/>
  <c r="I117" i="5" s="1"/>
  <c r="O32" i="5"/>
  <c r="Q52" i="5"/>
  <c r="P61" i="5"/>
  <c r="Q61" i="5" s="1"/>
  <c r="O97" i="5"/>
  <c r="Q81" i="5"/>
  <c r="J26" i="5"/>
  <c r="K26" i="5" s="1"/>
  <c r="L39" i="5"/>
  <c r="L38" i="5" s="1"/>
  <c r="L37" i="5" s="1"/>
  <c r="L36" i="5" s="1"/>
  <c r="L35" i="5" s="1"/>
  <c r="L118" i="5" s="1"/>
  <c r="Q62" i="5"/>
  <c r="O12" i="5"/>
  <c r="K28" i="5"/>
  <c r="P38" i="5" l="1"/>
  <c r="P36" i="5"/>
  <c r="Q105" i="5"/>
  <c r="P104" i="5"/>
  <c r="Q104" i="5" s="1"/>
  <c r="K79" i="5"/>
  <c r="J78" i="5"/>
  <c r="Q90" i="5"/>
  <c r="P89" i="5"/>
  <c r="O43" i="5"/>
  <c r="N38" i="5"/>
  <c r="L9" i="5"/>
  <c r="L8" i="5" s="1"/>
  <c r="O26" i="5"/>
  <c r="K95" i="5"/>
  <c r="J94" i="5"/>
  <c r="M9" i="5"/>
  <c r="M8" i="5" s="1"/>
  <c r="N79" i="5"/>
  <c r="O80" i="5"/>
  <c r="O108" i="5"/>
  <c r="N107" i="5"/>
  <c r="K89" i="5"/>
  <c r="J120" i="5"/>
  <c r="K120" i="5" s="1"/>
  <c r="O65" i="5"/>
  <c r="J9" i="5"/>
  <c r="O89" i="5"/>
  <c r="N120" i="5"/>
  <c r="O120" i="5" s="1"/>
  <c r="N82" i="5"/>
  <c r="O82" i="5" s="1"/>
  <c r="O83" i="5"/>
  <c r="P94" i="5"/>
  <c r="Q95" i="5"/>
  <c r="Q79" i="5"/>
  <c r="P78" i="5"/>
  <c r="P119" i="5" s="1"/>
  <c r="I86" i="5"/>
  <c r="O87" i="5"/>
  <c r="K39" i="5"/>
  <c r="J38" i="5"/>
  <c r="O10" i="5"/>
  <c r="N9" i="5"/>
  <c r="Q18" i="5"/>
  <c r="P9" i="5"/>
  <c r="K18" i="5"/>
  <c r="J104" i="5"/>
  <c r="K104" i="5" s="1"/>
  <c r="K105" i="5"/>
  <c r="Q87" i="5"/>
  <c r="O102" i="5"/>
  <c r="N101" i="5"/>
  <c r="N106" i="5" l="1"/>
  <c r="O107" i="5"/>
  <c r="N8" i="5"/>
  <c r="O9" i="5"/>
  <c r="J37" i="5"/>
  <c r="K38" i="5"/>
  <c r="O79" i="5"/>
  <c r="N78" i="5"/>
  <c r="N119" i="5" s="1"/>
  <c r="M92" i="5"/>
  <c r="M117" i="5"/>
  <c r="M121" i="5" s="1"/>
  <c r="M123" i="5" s="1"/>
  <c r="J93" i="5"/>
  <c r="K94" i="5"/>
  <c r="O86" i="5"/>
  <c r="I78" i="5"/>
  <c r="K86" i="5"/>
  <c r="Q86" i="5"/>
  <c r="Q78" i="5"/>
  <c r="L92" i="5"/>
  <c r="L117" i="5"/>
  <c r="L121" i="5" s="1"/>
  <c r="L123" i="5" s="1"/>
  <c r="N37" i="5"/>
  <c r="O38" i="5"/>
  <c r="Q94" i="5"/>
  <c r="P93" i="5"/>
  <c r="P120" i="5"/>
  <c r="Q120" i="5" s="1"/>
  <c r="Q89" i="5"/>
  <c r="O101" i="5"/>
  <c r="N94" i="5"/>
  <c r="J119" i="5"/>
  <c r="J8" i="5"/>
  <c r="K9" i="5"/>
  <c r="P35" i="5"/>
  <c r="Q36" i="5"/>
  <c r="P37" i="5"/>
  <c r="Q37" i="5" s="1"/>
  <c r="Q38" i="5"/>
  <c r="P8" i="5"/>
  <c r="Q9" i="5"/>
  <c r="Q8" i="5" l="1"/>
  <c r="P117" i="5"/>
  <c r="P92" i="5"/>
  <c r="I119" i="5"/>
  <c r="I92" i="5"/>
  <c r="Q35" i="5"/>
  <c r="P118" i="5"/>
  <c r="Q118" i="5" s="1"/>
  <c r="J117" i="5"/>
  <c r="K8" i="5"/>
  <c r="K93" i="5"/>
  <c r="J113" i="5"/>
  <c r="K78" i="5"/>
  <c r="K119" i="5"/>
  <c r="O94" i="5"/>
  <c r="N93" i="5"/>
  <c r="O93" i="5" s="1"/>
  <c r="O119" i="5"/>
  <c r="O78" i="5"/>
  <c r="K37" i="5"/>
  <c r="J36" i="5"/>
  <c r="P113" i="5"/>
  <c r="Q93" i="5"/>
  <c r="O8" i="5"/>
  <c r="N117" i="5"/>
  <c r="O37" i="5"/>
  <c r="N36" i="5"/>
  <c r="N105" i="5"/>
  <c r="O106" i="5"/>
  <c r="Q113" i="5" l="1"/>
  <c r="P122" i="5"/>
  <c r="Q122" i="5" s="1"/>
  <c r="J35" i="5"/>
  <c r="K36" i="5"/>
  <c r="K113" i="5"/>
  <c r="J122" i="5"/>
  <c r="K122" i="5" s="1"/>
  <c r="K117" i="5"/>
  <c r="O105" i="5"/>
  <c r="N104" i="5"/>
  <c r="O36" i="5"/>
  <c r="N35" i="5"/>
  <c r="O117" i="5"/>
  <c r="I121" i="5"/>
  <c r="I123" i="5" s="1"/>
  <c r="Q119" i="5"/>
  <c r="Q92" i="5"/>
  <c r="Q117" i="5"/>
  <c r="P121" i="5"/>
  <c r="P123" i="5" l="1"/>
  <c r="Q123" i="5" s="1"/>
  <c r="Q121" i="5"/>
  <c r="O35" i="5"/>
  <c r="N118" i="5"/>
  <c r="N92" i="5"/>
  <c r="O92" i="5" s="1"/>
  <c r="N113" i="5"/>
  <c r="O104" i="5"/>
  <c r="J118" i="5"/>
  <c r="K35" i="5"/>
  <c r="J92" i="5"/>
  <c r="K92" i="5" s="1"/>
  <c r="K118" i="5" l="1"/>
  <c r="J121" i="5"/>
  <c r="N122" i="5"/>
  <c r="O122" i="5" s="1"/>
  <c r="O113" i="5"/>
  <c r="O118" i="5"/>
  <c r="N121" i="5"/>
  <c r="O121" i="5" l="1"/>
  <c r="N123" i="5"/>
  <c r="O123" i="5" s="1"/>
  <c r="J123" i="5"/>
  <c r="K123" i="5" s="1"/>
  <c r="K121" i="5"/>
  <c r="Q30" i="3" l="1"/>
  <c r="Q31" i="3"/>
  <c r="Q29" i="3"/>
  <c r="P30" i="3"/>
  <c r="P31" i="3"/>
  <c r="P29" i="3"/>
  <c r="O30" i="3"/>
  <c r="O31" i="3"/>
  <c r="O29" i="3"/>
  <c r="J26" i="3"/>
  <c r="I26" i="3"/>
  <c r="I25" i="3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15" i="2"/>
  <c r="AB14" i="2"/>
  <c r="AB13" i="2"/>
  <c r="AB12" i="2"/>
  <c r="AB11" i="2"/>
  <c r="AB10" i="2"/>
  <c r="AB9" i="2"/>
  <c r="AB8" i="2"/>
  <c r="AB7" i="2"/>
  <c r="AB6" i="2"/>
  <c r="AB5" i="2"/>
  <c r="I27" i="3"/>
  <c r="N31" i="3" l="1"/>
  <c r="N30" i="3"/>
  <c r="N29" i="3"/>
  <c r="N27" i="3"/>
  <c r="N26" i="3"/>
  <c r="N25" i="3"/>
  <c r="N22" i="3"/>
  <c r="G9" i="4" s="1"/>
  <c r="N20" i="3"/>
  <c r="G8" i="4" s="1"/>
  <c r="N19" i="3"/>
  <c r="N18" i="3"/>
  <c r="N17" i="3"/>
  <c r="G6" i="4" s="1"/>
  <c r="N15" i="3"/>
  <c r="N12" i="3"/>
  <c r="N13" i="3"/>
  <c r="N11" i="3"/>
  <c r="N24" i="3" l="1"/>
  <c r="G11" i="4" s="1"/>
  <c r="G7" i="4"/>
  <c r="G5" i="4" s="1"/>
  <c r="N10" i="3"/>
  <c r="G3" i="4" s="1"/>
  <c r="N21" i="3"/>
  <c r="N28" i="3"/>
  <c r="G12" i="4" s="1"/>
  <c r="N16" i="3"/>
  <c r="G13" i="4" l="1"/>
  <c r="M22" i="3"/>
  <c r="F9" i="4" s="1"/>
  <c r="L22" i="3"/>
  <c r="K22" i="3"/>
  <c r="D9" i="4" s="1"/>
  <c r="N32" i="3"/>
  <c r="M31" i="3"/>
  <c r="M30" i="3"/>
  <c r="M29" i="3"/>
  <c r="M27" i="3"/>
  <c r="M26" i="3"/>
  <c r="M25" i="3"/>
  <c r="M20" i="3"/>
  <c r="F8" i="4" s="1"/>
  <c r="M19" i="3"/>
  <c r="M18" i="3"/>
  <c r="F7" i="4" s="1"/>
  <c r="M17" i="3"/>
  <c r="F6" i="4" s="1"/>
  <c r="M15" i="3"/>
  <c r="M14" i="3" s="1"/>
  <c r="F4" i="4" s="1"/>
  <c r="M13" i="3"/>
  <c r="M12" i="3"/>
  <c r="M11" i="3"/>
  <c r="M10" i="3" s="1"/>
  <c r="F3" i="4" s="1"/>
  <c r="L31" i="3"/>
  <c r="L30" i="3"/>
  <c r="L29" i="3"/>
  <c r="L27" i="3"/>
  <c r="L26" i="3"/>
  <c r="L25" i="3"/>
  <c r="L20" i="3"/>
  <c r="E8" i="4" s="1"/>
  <c r="L19" i="3"/>
  <c r="L18" i="3"/>
  <c r="L17" i="3"/>
  <c r="E6" i="4" s="1"/>
  <c r="L15" i="3"/>
  <c r="L14" i="3" s="1"/>
  <c r="E4" i="4" s="1"/>
  <c r="L13" i="3"/>
  <c r="L12" i="3"/>
  <c r="L11" i="3"/>
  <c r="L10" i="3" s="1"/>
  <c r="E3" i="4" s="1"/>
  <c r="K31" i="3"/>
  <c r="K30" i="3"/>
  <c r="K29" i="3"/>
  <c r="K27" i="3"/>
  <c r="K26" i="3"/>
  <c r="K25" i="3"/>
  <c r="K24" i="3" s="1"/>
  <c r="D11" i="4" s="1"/>
  <c r="K20" i="3"/>
  <c r="D8" i="4" s="1"/>
  <c r="J20" i="3"/>
  <c r="C8" i="4" s="1"/>
  <c r="K19" i="3"/>
  <c r="K18" i="3"/>
  <c r="K17" i="3"/>
  <c r="D6" i="4" s="1"/>
  <c r="K15" i="3"/>
  <c r="K14" i="3" s="1"/>
  <c r="D4" i="4" s="1"/>
  <c r="K13" i="3"/>
  <c r="K12" i="3"/>
  <c r="K11" i="3"/>
  <c r="J31" i="3"/>
  <c r="J30" i="3"/>
  <c r="J29" i="3"/>
  <c r="J28" i="3" s="1"/>
  <c r="C12" i="4" s="1"/>
  <c r="J27" i="3"/>
  <c r="J25" i="3"/>
  <c r="J22" i="3"/>
  <c r="C9" i="4" s="1"/>
  <c r="J19" i="3"/>
  <c r="J18" i="3"/>
  <c r="J17" i="3"/>
  <c r="C6" i="4" s="1"/>
  <c r="J15" i="3"/>
  <c r="J13" i="3"/>
  <c r="J12" i="3"/>
  <c r="J11" i="3"/>
  <c r="I31" i="3"/>
  <c r="I30" i="3"/>
  <c r="I29" i="3"/>
  <c r="I22" i="3"/>
  <c r="I20" i="3"/>
  <c r="B8" i="4" s="1"/>
  <c r="I19" i="3"/>
  <c r="I18" i="3"/>
  <c r="B7" i="4" s="1"/>
  <c r="I17" i="3"/>
  <c r="B6" i="4" s="1"/>
  <c r="I15" i="3"/>
  <c r="I14" i="3" s="1"/>
  <c r="B4" i="4" s="1"/>
  <c r="I13" i="3"/>
  <c r="I12" i="3"/>
  <c r="I11" i="3"/>
  <c r="D162" i="3"/>
  <c r="A35" i="3"/>
  <c r="H22" i="3"/>
  <c r="H21" i="3"/>
  <c r="L24" i="3" l="1"/>
  <c r="I10" i="3"/>
  <c r="B3" i="4" s="1"/>
  <c r="K28" i="3"/>
  <c r="C7" i="4"/>
  <c r="J24" i="3"/>
  <c r="M24" i="3"/>
  <c r="F11" i="4" s="1"/>
  <c r="I4" i="4"/>
  <c r="I3" i="4"/>
  <c r="I24" i="3"/>
  <c r="B11" i="4" s="1"/>
  <c r="I8" i="4"/>
  <c r="I28" i="3"/>
  <c r="B12" i="4" s="1"/>
  <c r="H12" i="4" s="1"/>
  <c r="D7" i="4"/>
  <c r="D5" i="4" s="1"/>
  <c r="L28" i="3"/>
  <c r="L32" i="3" s="1"/>
  <c r="M28" i="3"/>
  <c r="F12" i="4" s="1"/>
  <c r="J21" i="3"/>
  <c r="K21" i="3"/>
  <c r="I6" i="4"/>
  <c r="L16" i="3"/>
  <c r="M21" i="3"/>
  <c r="B5" i="4"/>
  <c r="I21" i="3"/>
  <c r="O21" i="3" s="1"/>
  <c r="B9" i="4"/>
  <c r="H9" i="4" s="1"/>
  <c r="H6" i="4"/>
  <c r="L21" i="3"/>
  <c r="E9" i="4"/>
  <c r="E11" i="4"/>
  <c r="E12" i="4"/>
  <c r="D12" i="4"/>
  <c r="D13" i="4" s="1"/>
  <c r="C11" i="4"/>
  <c r="J32" i="3"/>
  <c r="C5" i="4"/>
  <c r="H7" i="4"/>
  <c r="J16" i="3"/>
  <c r="F5" i="4"/>
  <c r="F10" i="4" s="1"/>
  <c r="E7" i="4"/>
  <c r="M16" i="3"/>
  <c r="H8" i="4"/>
  <c r="K16" i="3"/>
  <c r="P12" i="3"/>
  <c r="I16" i="3"/>
  <c r="Q12" i="3"/>
  <c r="O12" i="3"/>
  <c r="P18" i="3"/>
  <c r="Q18" i="3"/>
  <c r="O20" i="3"/>
  <c r="P19" i="3"/>
  <c r="Q10" i="3"/>
  <c r="Q20" i="3"/>
  <c r="P15" i="3"/>
  <c r="Q22" i="3"/>
  <c r="O22" i="3"/>
  <c r="P13" i="3"/>
  <c r="Q13" i="3"/>
  <c r="O15" i="3"/>
  <c r="Q15" i="3"/>
  <c r="O19" i="3"/>
  <c r="O27" i="3"/>
  <c r="P27" i="3"/>
  <c r="Q27" i="3"/>
  <c r="P20" i="3"/>
  <c r="P14" i="3"/>
  <c r="O11" i="3"/>
  <c r="Q14" i="3"/>
  <c r="K10" i="3"/>
  <c r="D3" i="4" s="1"/>
  <c r="N14" i="3"/>
  <c r="O18" i="3"/>
  <c r="O13" i="3"/>
  <c r="J10" i="3"/>
  <c r="C3" i="4" s="1"/>
  <c r="H3" i="4" s="1"/>
  <c r="P22" i="3"/>
  <c r="P11" i="3"/>
  <c r="O17" i="3"/>
  <c r="Q11" i="3"/>
  <c r="P17" i="3"/>
  <c r="J14" i="3"/>
  <c r="Q17" i="3"/>
  <c r="O25" i="3"/>
  <c r="Q19" i="3"/>
  <c r="I23" i="3" l="1"/>
  <c r="K23" i="3"/>
  <c r="P21" i="3"/>
  <c r="M23" i="3"/>
  <c r="Q21" i="3"/>
  <c r="I32" i="3"/>
  <c r="F13" i="4"/>
  <c r="I9" i="4"/>
  <c r="M32" i="3"/>
  <c r="B13" i="4"/>
  <c r="F14" i="4"/>
  <c r="F16" i="4" s="1"/>
  <c r="O14" i="3"/>
  <c r="C4" i="4"/>
  <c r="H4" i="4" s="1"/>
  <c r="G4" i="4"/>
  <c r="G10" i="4" s="1"/>
  <c r="G14" i="4" s="1"/>
  <c r="G16" i="4" s="1"/>
  <c r="N23" i="3"/>
  <c r="B10" i="4"/>
  <c r="D10" i="4"/>
  <c r="D14" i="4" s="1"/>
  <c r="D16" i="4" s="1"/>
  <c r="H5" i="4"/>
  <c r="C10" i="4"/>
  <c r="H11" i="4"/>
  <c r="C13" i="4"/>
  <c r="I12" i="4"/>
  <c r="E5" i="4"/>
  <c r="I7" i="4"/>
  <c r="I11" i="4"/>
  <c r="E13" i="4"/>
  <c r="O16" i="3"/>
  <c r="P16" i="3"/>
  <c r="L23" i="3"/>
  <c r="Q16" i="3"/>
  <c r="P10" i="3"/>
  <c r="O10" i="3"/>
  <c r="J23" i="3"/>
  <c r="B14" i="4" l="1"/>
  <c r="B16" i="4" s="1"/>
  <c r="H13" i="4"/>
  <c r="I13" i="4"/>
  <c r="E10" i="4"/>
  <c r="I5" i="4"/>
  <c r="H10" i="4"/>
  <c r="C14" i="4"/>
  <c r="P23" i="3"/>
  <c r="Q23" i="3"/>
  <c r="O23" i="3"/>
  <c r="H14" i="4" l="1"/>
  <c r="C16" i="4"/>
  <c r="H16" i="4" s="1"/>
  <c r="I10" i="4"/>
  <c r="E14" i="4"/>
  <c r="I33" i="3"/>
  <c r="E16" i="4" l="1"/>
  <c r="I16" i="4" s="1"/>
  <c r="I14" i="4"/>
  <c r="Q28" i="3"/>
  <c r="P28" i="3"/>
  <c r="O28" i="3"/>
  <c r="O24" i="3"/>
  <c r="Q24" i="3"/>
  <c r="P24" i="3" l="1"/>
  <c r="K32" i="3"/>
  <c r="K33" i="3" s="1"/>
  <c r="N33" i="3"/>
  <c r="J33" i="3"/>
  <c r="O33" i="3" s="1"/>
  <c r="O32" i="3"/>
  <c r="L33" i="3"/>
  <c r="P33" i="3" s="1"/>
  <c r="P32" i="3"/>
  <c r="Q32" i="3" l="1"/>
  <c r="M33" i="3"/>
  <c r="Q33" i="3" s="1"/>
</calcChain>
</file>

<file path=xl/sharedStrings.xml><?xml version="1.0" encoding="utf-8"?>
<sst xmlns="http://schemas.openxmlformats.org/spreadsheetml/2006/main" count="1693" uniqueCount="303">
  <si>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</si>
  <si>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</si>
  <si>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</si>
  <si>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</si>
  <si>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</si>
  <si>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</si>
  <si>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</si>
  <si>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</si>
  <si>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</si>
  <si>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</si>
  <si>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</si>
  <si>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</si>
  <si>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</si>
  <si>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</si>
  <si>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</si>
  <si>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</si>
  <si>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</si>
  <si>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</si>
  <si>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</si>
  <si>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</si>
  <si>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</si>
  <si>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</si>
  <si>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</si>
  <si>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</si>
  <si>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</si>
  <si>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</si>
  <si>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</si>
  <si>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</si>
  <si>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</si>
  <si>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</si>
  <si>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</si>
  <si>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</si>
  <si>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</si>
  <si>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12-10-00</t>
  </si>
  <si>
    <t>UNIDAD ADMINISTRATIVA ESPECIAL AGENCIA NACIONAL DE DEFENSA JURÍDICA DEL ESTADO</t>
  </si>
  <si>
    <t>A-01-01-01-001-001</t>
  </si>
  <si>
    <t>A</t>
  </si>
  <si>
    <t>01</t>
  </si>
  <si>
    <t>001</t>
  </si>
  <si>
    <t>Nación</t>
  </si>
  <si>
    <t>10</t>
  </si>
  <si>
    <t>CSF</t>
  </si>
  <si>
    <t>SUELDO BÁSICO</t>
  </si>
  <si>
    <t>A-01-01-01-001-003</t>
  </si>
  <si>
    <t>003</t>
  </si>
  <si>
    <t>PRIMA TÉCNICA SALARIAL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</si>
  <si>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</si>
  <si>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</si>
  <si>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</si>
  <si>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</si>
  <si>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</si>
  <si>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</si>
  <si>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</si>
  <si>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009</t>
  </si>
  <si>
    <t>PRIMA DE NAVIDAD</t>
  </si>
  <si>
    <t>A-01-01-01-001-010</t>
  </si>
  <si>
    <t>010</t>
  </si>
  <si>
    <t>PRIMA DE VACACIONES</t>
  </si>
  <si>
    <t>A-01-01-02-001</t>
  </si>
  <si>
    <t>02</t>
  </si>
  <si>
    <t>APORTES A LA SEGURIDAD SOCIAL EN PENSIONES</t>
  </si>
  <si>
    <t>A-01-01-02-002</t>
  </si>
  <si>
    <t>002</t>
  </si>
  <si>
    <t>APORTES A LA SEGURIDAD SOCIAL EN SALUD</t>
  </si>
  <si>
    <t>A-01-01-02-003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</si>
  <si>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</si>
  <si>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</si>
  <si>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</si>
  <si>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</si>
  <si>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</si>
  <si>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</si>
  <si>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</si>
  <si>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</si>
  <si>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</si>
  <si>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</si>
  <si>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</si>
  <si>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</si>
  <si>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03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</si>
  <si>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</si>
  <si>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</si>
  <si>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</si>
  <si>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</si>
  <si>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</si>
  <si>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</si>
  <si>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</si>
  <si>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</si>
  <si>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013</t>
  </si>
  <si>
    <t>ESTÍMULOS A LOS EMPLEADOS DEL ESTADO</t>
  </si>
  <si>
    <t>A-01-01-03-016</t>
  </si>
  <si>
    <t>016</t>
  </si>
  <si>
    <t>PRIMA DE COORDINACIÓN</t>
  </si>
  <si>
    <t>A-01-01-03-030</t>
  </si>
  <si>
    <t>030</t>
  </si>
  <si>
    <t>BONIFICACIÓN DE DIRECCIÓN</t>
  </si>
  <si>
    <t>A-02-02-01-002-003</t>
  </si>
  <si>
    <t>PRODUCTOS DE MOLINERÍA, ALMIDONES Y PRODUCTOS DERIVADOS DEL ALMIDÓN; OTROS PRODUCTOS ALIMENTICIOS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</si>
  <si>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</si>
  <si>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</si>
  <si>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</si>
  <si>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</si>
  <si>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</si>
  <si>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</si>
  <si>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</si>
  <si>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</si>
  <si>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</si>
  <si>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</si>
  <si>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</si>
  <si>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</si>
  <si>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</si>
  <si>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</si>
  <si>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</si>
  <si>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008</t>
  </si>
  <si>
    <t>OTROS BIENES TRANSPORTABLES N.C.P.</t>
  </si>
  <si>
    <t>A-02-02-01-004-002</t>
  </si>
  <si>
    <t>PRODUCTOS METÁLICOS ELABORADOS (EXCEPTO MAQUINARIA Y EQUIPO)</t>
  </si>
  <si>
    <t>A-02-02-01-004-006</t>
  </si>
  <si>
    <t>MAQUINARIA Y APARATOS ELÉCTRICOS</t>
  </si>
  <si>
    <t>A-02-02-01-004-007</t>
  </si>
  <si>
    <t>EQUIPO Y APARATOS DE RADIO, TELEVISIÓN Y COMUNICACIONES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</si>
  <si>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</si>
  <si>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</si>
  <si>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</si>
  <si>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</si>
  <si>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</si>
  <si>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</si>
  <si>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</si>
  <si>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</si>
  <si>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</si>
  <si>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</si>
  <si>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</si>
  <si>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</si>
  <si>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</si>
  <si>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</si>
  <si>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</si>
  <si>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</si>
  <si>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</si>
  <si>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</si>
  <si>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</si>
  <si>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</si>
  <si>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</si>
  <si>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</si>
  <si>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</si>
  <si>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</si>
  <si>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</si>
  <si>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</si>
  <si>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</si>
  <si>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</si>
  <si>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</si>
  <si>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</si>
  <si>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</si>
  <si>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</si>
  <si>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</si>
  <si>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</si>
  <si>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</si>
  <si>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</si>
  <si>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</si>
  <si>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</si>
  <si>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</si>
  <si>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04</t>
  </si>
  <si>
    <t>012</t>
  </si>
  <si>
    <t>INCAPACIDADES (NO DE PENSIONES)</t>
  </si>
  <si>
    <t>A-03-04-02-012-002</t>
  </si>
  <si>
    <t>LICENCIAS DE MATERNIDAD Y PATERNIDAD (NO DE PENSIONES)</t>
  </si>
  <si>
    <t>A-03-10-02-001</t>
  </si>
  <si>
    <t>FALLOS JUDICIALES, DECISIONES CUASIJUDICIALES Y SOLUCIONES AMISTOSAS SISTEMA INTERAMERICANO DE DERECHOS HUMANOS</t>
  </si>
  <si>
    <t>C-1205-0800-3-20110E-1205005-0201</t>
  </si>
  <si>
    <t>C</t>
  </si>
  <si>
    <t>1205</t>
  </si>
  <si>
    <t>0800</t>
  </si>
  <si>
    <t>3</t>
  </si>
  <si>
    <t>20110E</t>
  </si>
  <si>
    <t>1205005</t>
  </si>
  <si>
    <t>0201</t>
  </si>
  <si>
    <t>FORTALECIMIENTO DE LAS CAPACIDADES DE LA ANDJE PARA MEJORAR LA EFICIENCIA DE LAS ENTIDADES DEL NIVEL NACIONAL QUE HACEN PARTE DEL SISTEMA DE DEFENSA JURÍDICA</t>
  </si>
  <si>
    <t>C-1205-0800-3-20110E-1205007-0201</t>
  </si>
  <si>
    <t>1205007</t>
  </si>
  <si>
    <t>C-1205-0800-3-20110E-1205008-0202</t>
  </si>
  <si>
    <t>1205008</t>
  </si>
  <si>
    <t>0202</t>
  </si>
  <si>
    <t>FORTALECIMIENTO DE LA GESTIÓN DEL CONOCIMIENTO BASADO EN EVIDENCIA DEL SISTEMA DE DEFENSA JURÍDICA DEL ESTADO</t>
  </si>
  <si>
    <t>C-1205-0800-4-20110E-1205007-02</t>
  </si>
  <si>
    <t>4</t>
  </si>
  <si>
    <t>13</t>
  </si>
  <si>
    <t>ADQUIS. DE BYS - DOCUMENTOS DE PLANEACIÓN - FORTALECIMIENTO DE LA DEFENSA JURÍDICA DEL ESTADO DE COLOMBIA A NIVEL TERRITORIAL Y  NACIONAL</t>
  </si>
  <si>
    <t>C-1205-0800-4-20110E-1205009-02</t>
  </si>
  <si>
    <t>1205009</t>
  </si>
  <si>
    <t>ADQUIS. DE BYS - SERVICIO DE ASISTENCIA TÉCNICA - FORTALECIMIENTO DE LA DEFENSA JURÍDICA DEL ESTADO DE COLOMBIA A NIVEL TERRITORIAL Y  NACIONAL</t>
  </si>
  <si>
    <t>C-1205-0800-4-20110E-1205012-02</t>
  </si>
  <si>
    <t>1205012</t>
  </si>
  <si>
    <t>ADQUIS. DE BYS - SERVICIO DE INFORMACIÓN ACTUALIZADO - FORTALECIMIENTO DE LA DEFENSA JURÍDICA DEL ESTADO DE COLOMBIA A NIVEL TERRITORIAL Y  NACIONAL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</si>
  <si>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</si>
  <si>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</si>
  <si>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</si>
  <si>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</si>
  <si>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</si>
  <si>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</si>
  <si>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</si>
  <si>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</si>
  <si>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A-03-03-01-078</t>
  </si>
  <si>
    <t>078</t>
  </si>
  <si>
    <t>DEFENSA DE LOS INTERESES DEL ESTADO EN CONTROVERSIAS INTERNACIONALES</t>
  </si>
  <si>
    <t>A-03-04-02-012</t>
  </si>
  <si>
    <t>INCAPACIDADES Y LICENCIAS DE MATERNIDAD Y PATERNIDAD (NO DE PENSIONES)</t>
  </si>
  <si>
    <t>A-03-10</t>
  </si>
  <si>
    <t>SENTENCIAS Y CONCILIACIONES</t>
  </si>
  <si>
    <t>A-08-04-01</t>
  </si>
  <si>
    <t>08</t>
  </si>
  <si>
    <t>11</t>
  </si>
  <si>
    <t>SSF</t>
  </si>
  <si>
    <t>CUOTA DE FISCALIZACIÓN Y AUDITAJE</t>
  </si>
  <si>
    <t>C-1205-0800-3-20110E</t>
  </si>
  <si>
    <t>2. SEGURIDAD HUMANA Y JUSTICIA SOCIAL / E. SISTEMA NACIONAL DE DEFENSA JURÍDICA DEL ESTADO</t>
  </si>
  <si>
    <t>C-1205-0800-4-20110E</t>
  </si>
  <si>
    <t xml:space="preserve">REPORTE DE EJECUCIÓN PRESUPUESTAL  </t>
  </si>
  <si>
    <t>CON CORTE A: 31 DE ENERO 2026</t>
  </si>
  <si>
    <t>SECCIÓN: 12-10-00 UNIDAD ADMINISTRATIVA ESPECIAL AGENCIA NACIONAL DE DEFENSA JURIDICA DEL ESTADO</t>
  </si>
  <si>
    <t>CONCEPTO</t>
  </si>
  <si>
    <t>APROPIACIÓN VIGENTE</t>
  </si>
  <si>
    <t>COMPROMISOS</t>
  </si>
  <si>
    <t>CDP POR 
COMPROMETER</t>
  </si>
  <si>
    <t>OBLIGACIONES</t>
  </si>
  <si>
    <t>APROPIACIÓN DISPONIBLE</t>
  </si>
  <si>
    <t xml:space="preserve"> % EJECUCIÓN</t>
  </si>
  <si>
    <t>% EJEC OBLIGA.</t>
  </si>
  <si>
    <t>% EJEC PAG.</t>
  </si>
  <si>
    <t>GASTOS DE PERSONAL</t>
  </si>
  <si>
    <t>ADQUISICIONES DIFERENTES DE ACTIVOS</t>
  </si>
  <si>
    <t>TRANSFERENCIAS CORRIENTES</t>
  </si>
  <si>
    <t>A - TOTAL FUNCIONAMIENTO</t>
  </si>
  <si>
    <t>IMPLEMENTACION DEL PROGRAMA DE FORTALECIMIENTO DE LA AGENCIA DE DEFENSA JURIDICA A NIVEL NACIONAL</t>
  </si>
  <si>
    <t>FORTALECIMIENTO DE LAS CAPACIDADES DE LA ANDJE PARA MEJORAR LA EFICIENCIA DE LAS ENTIDADES DEL NIVEL NACIONAL QUE HACEN PARTE DEL SISTEMA DE DEFENSA JURIDICA.</t>
  </si>
  <si>
    <t>FORTALECIMIENTO DE LA GESTION DEL CONOCIMIENTO BASADO EN EVIDENCIA DEL SISTEMA DE DEFENSA JURIDICA DEL ESTADO</t>
  </si>
  <si>
    <t xml:space="preserve">FORTALECIMIENTO DE LA DEFENSA JURIDICA DEL ESTADO DE COLOMBIA A NIVEL TERRITORIAL Y NACIONAL </t>
  </si>
  <si>
    <t>C - TOTAL INVERSION</t>
  </si>
  <si>
    <t>TOTAL PRESUPUESTO</t>
  </si>
  <si>
    <t>Apropiaciones Bloqueadas por Ministerio de Hacienda</t>
  </si>
  <si>
    <t>Fecha de actualización 31-01-2026</t>
  </si>
  <si>
    <t>APROPIACIÓN  DISPONIBLE</t>
  </si>
  <si>
    <t>% DE EJECUCIÓN</t>
  </si>
  <si>
    <t>% EJEC OBLIGACIONES</t>
  </si>
  <si>
    <t xml:space="preserve">ADQUISICION DE BIENES Y SERVICIOS   </t>
  </si>
  <si>
    <t>TRANSFERENCIAS</t>
  </si>
  <si>
    <t>PRESTACIONES SOCIALES RELACIONADAS CON EL EMPLEO</t>
  </si>
  <si>
    <t>FALLOS INTERNACIONALES</t>
  </si>
  <si>
    <t>GASTOS POR TRIBUTOS, MULTAS, SANCIONES E INTERESES DE MORA</t>
  </si>
  <si>
    <t>TOTAL FUNCIONAMIENTO</t>
  </si>
  <si>
    <t>TOTAL INVERSIÓN</t>
  </si>
  <si>
    <t>TOTAL PRESUPUESTO CON APLAZAMIENTO</t>
  </si>
  <si>
    <t>APROPIACIÓN BLOQUEADA</t>
  </si>
  <si>
    <t xml:space="preserve">TOTAL PRESUPUESTO </t>
  </si>
  <si>
    <t xml:space="preserve">Coordinador Grupo Gestión Administrativa y Financiera </t>
  </si>
  <si>
    <t xml:space="preserve"> </t>
  </si>
  <si>
    <t>T</t>
  </si>
  <si>
    <t>X</t>
  </si>
  <si>
    <t>AB/AC</t>
  </si>
  <si>
    <t>W</t>
  </si>
  <si>
    <t>Y</t>
  </si>
  <si>
    <t>AA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</si>
  <si>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</si>
  <si>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</si>
  <si>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</si>
  <si>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</si>
  <si>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</si>
  <si>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% OBLIGACIONES</t>
  </si>
  <si>
    <t>% PAGOS</t>
  </si>
  <si>
    <t>PLANTA DE PERSONAL PERMANENTE</t>
  </si>
  <si>
    <t>FACTORES SALARIALES COMUNES</t>
  </si>
  <si>
    <t>PRESTACIONES SOCIALES SEGÚN DEFINICIÓN LEGAL</t>
  </si>
  <si>
    <t xml:space="preserve">ESTÍMULOS A LOS EMPLEADOS DEL ESTADO 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</si>
  <si>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</si>
  <si>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</si>
  <si>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</si>
  <si>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</si>
  <si>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PRODUCTOS METÁLICOS Y PAQUETES DE SOFTWARE</t>
  </si>
  <si>
    <t>EQUIPO DE TRANSPORTE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</si>
  <si>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</si>
  <si>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</si>
  <si>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</si>
  <si>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</si>
  <si>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A ENTIDADES DEL GOBIERNO</t>
  </si>
  <si>
    <t>A ÓRGANOS DEL PGN</t>
  </si>
  <si>
    <t>PRESTACIONES SOCIALES</t>
  </si>
  <si>
    <t>CONTRIBUCIONES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</si>
  <si>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</si>
  <si>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</si>
  <si>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</si>
  <si>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</si>
  <si>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</si>
  <si>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</si>
  <si>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</si>
  <si>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 xml:space="preserve">FORTALECIMIENTO DE LA DEFENSA JURÍDICA DEL ESTADO COLOMBIA A NIVEL TERRITORIAL Y NACIONAL </t>
  </si>
  <si>
    <t>SEGURIDAD HUMANA Y JUSTICIA SOCIAL/ E. SISTEMA NACIONAL DE DEFENSA JURÍDICA DEL ESTADO.</t>
  </si>
  <si>
    <t>DOCUMENTOS DE PLANEACIÓN</t>
  </si>
  <si>
    <t>SERVICIO DE ASISTENCIA TÉNICA</t>
  </si>
  <si>
    <t>SERVICIO DE INFROMACIÓN ACTUALIZADO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</si>
  <si>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</si>
  <si>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</si>
  <si>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</si>
  <si>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</si>
  <si>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GENERAL</t>
  </si>
  <si>
    <t>Fuente: SIIF-NACIÓN</t>
  </si>
  <si>
    <t>Coordinador (a) Grupo Gestión Administrativa, Financiera</t>
  </si>
  <si>
    <t>CON CORTE A: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</si>
</sst>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\ #,##0.00;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(* #,##0_);_(* \(#,##0\);_(* &quot;-&quot;??_);_(@_)"/>
    <numFmt numFmtId="166" formatCode="00"/>
    <numFmt numFmtId="167" formatCode="_(* #,##0.00_);_(* \(#,##0.00\);_(* &quot;-&quot;??_);_(@_)"/>
    <numFmt numFmtId="168" formatCode="000"/>
    <numFmt numFmtId="169" formatCode="[$-1240A]&quot;$&quot;\ #,##0.00;\(&quot;$&quot;\ #,##0.00\)"/>
    <numFmt numFmtId="170" formatCode="&quot;$&quot;\ #,##0.00"/>
    <numFmt numFmtId="171" formatCode="_-* #,##0.00_-;\-* #,##0.00_-;_-* &quot;-&quot;_-;_-@_-"/>
    <numFmt numFmtId="172" formatCode="[$$-2C0A]\ #,##0.00"/>
    <numFmt numFmtId="173" formatCode="&quot;$&quot;#,##0.00"/>
    <numFmt numFmtId="174" formatCode="_-&quot;$&quot;* #,##0_-;\-&quot;$&quot;* #,##0_-;_-&quot;$&quot;* &quot;-&quot;_-;_-@_-"/>
    <numFmt numFmtId="175" formatCode="#,##0.00;[Red]#,##0.00"/>
    <numFmt numFmtId="176" formatCode="\$#,##0.00;\-\$#,##0.00"/>
  </numFmts>
  <fonts count="5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14"/>
      <color theme="1"/>
      <name val="Montserrat"/>
    </font>
    <font>
      <sz val="10"/>
      <name val="MS Sans Serif"/>
      <family val="2"/>
    </font>
    <font>
      <b/>
      <sz val="9"/>
      <name val="Montserrat"/>
    </font>
    <font>
      <b/>
      <sz val="9"/>
      <color theme="1"/>
      <name val="Montserrat"/>
    </font>
    <font>
      <sz val="10"/>
      <name val="Arial Narrow"/>
      <family val="2"/>
    </font>
    <font>
      <b/>
      <sz val="8"/>
      <name val="Montserrat"/>
    </font>
    <font>
      <sz val="8"/>
      <color rgb="FF000000"/>
      <name val="Montserrat"/>
    </font>
    <font>
      <sz val="8"/>
      <name val="Montserrat"/>
    </font>
    <font>
      <b/>
      <sz val="8"/>
      <color rgb="FFFF0000"/>
      <name val="Montserrat"/>
    </font>
    <font>
      <b/>
      <sz val="8"/>
      <color theme="0"/>
      <name val="Montserrat"/>
    </font>
    <font>
      <b/>
      <sz val="8"/>
      <color rgb="FF000000"/>
      <name val="Montserrat"/>
    </font>
    <font>
      <sz val="8"/>
      <name val="Franklin Gothic Book"/>
      <family val="2"/>
    </font>
    <font>
      <sz val="9"/>
      <color theme="1"/>
      <name val="Montserrat"/>
    </font>
    <font>
      <sz val="9"/>
      <color theme="0"/>
      <name val="Montserrat"/>
    </font>
    <font>
      <b/>
      <sz val="14"/>
      <name val="Montserrat"/>
    </font>
    <font>
      <sz val="12"/>
      <color theme="1"/>
      <name val="Montserrat"/>
    </font>
    <font>
      <sz val="12"/>
      <color theme="0"/>
      <name val="Montserrat"/>
    </font>
    <font>
      <sz val="12"/>
      <name val="Montserrat"/>
    </font>
    <font>
      <sz val="8"/>
      <color rgb="FFFF0000"/>
      <name val="Montserrat"/>
    </font>
    <font>
      <b/>
      <sz val="8.5"/>
      <name val="Montserrat"/>
    </font>
    <font>
      <b/>
      <i/>
      <sz val="8.5"/>
      <name val="Montserrat"/>
    </font>
    <font>
      <b/>
      <sz val="10"/>
      <color theme="0"/>
      <name val="Montserrat"/>
    </font>
    <font>
      <b/>
      <sz val="9"/>
      <color theme="0"/>
      <name val="Montserrat"/>
    </font>
    <font>
      <sz val="8.5"/>
      <name val="Montserrat"/>
    </font>
    <font>
      <b/>
      <sz val="10"/>
      <name val="Montserrat"/>
    </font>
    <font>
      <b/>
      <sz val="11"/>
      <name val="Montserrat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8"/>
      <name val="Franklin Gothic Book"/>
      <family val="2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color rgb="FF000000"/>
      <name val="Times New Roman"/>
      <family val="1"/>
    </font>
    <font>
      <b/>
      <sz val="10"/>
      <name val="Franklin Gothic Book"/>
      <family val="2"/>
    </font>
    <font>
      <b/>
      <sz val="10"/>
      <color theme="1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6" fontId="14" fillId="0" borderId="0" applyFill="0">
      <alignment horizontal="center" vertical="center" wrapText="1"/>
    </xf>
    <xf numFmtId="168" fontId="14" fillId="6" borderId="0" applyFill="0" applyProtection="0">
      <alignment horizontal="center" vertical="center"/>
    </xf>
    <xf numFmtId="42" fontId="2" fillId="0" borderId="0" applyFont="0" applyFill="0" applyBorder="0" applyAlignment="0" applyProtection="0"/>
    <xf numFmtId="1" fontId="14" fillId="2" borderId="0" applyFill="0">
      <alignment horizontal="center" vertical="center"/>
    </xf>
  </cellStyleXfs>
  <cellXfs count="441"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6" fontId="15" fillId="5" borderId="19" xfId="5" applyFont="1" applyFill="1" applyBorder="1">
      <alignment horizontal="center" vertical="center" wrapText="1"/>
    </xf>
    <xf numFmtId="166" fontId="15" fillId="5" borderId="20" xfId="5" applyFont="1" applyFill="1" applyBorder="1">
      <alignment horizontal="center" vertical="center" wrapText="1"/>
    </xf>
    <xf numFmtId="166" fontId="15" fillId="5" borderId="20" xfId="5" applyFont="1" applyFill="1" applyBorder="1" applyAlignment="1">
      <alignment vertical="center" wrapText="1"/>
    </xf>
    <xf numFmtId="166" fontId="15" fillId="5" borderId="21" xfId="5" applyFont="1" applyFill="1" applyBorder="1" applyAlignment="1">
      <alignment vertical="center" wrapText="1"/>
    </xf>
    <xf numFmtId="0" fontId="7" fillId="5" borderId="22" xfId="0" applyFont="1" applyFill="1" applyBorder="1" applyAlignment="1">
      <alignment horizontal="left" vertical="center" wrapText="1"/>
    </xf>
    <xf numFmtId="167" fontId="7" fillId="5" borderId="22" xfId="0" applyNumberFormat="1" applyFont="1" applyFill="1" applyBorder="1" applyAlignment="1">
      <alignment horizontal="center" vertical="center" wrapText="1"/>
    </xf>
    <xf numFmtId="10" fontId="7" fillId="5" borderId="18" xfId="3" applyNumberFormat="1" applyFont="1" applyFill="1" applyBorder="1" applyAlignment="1">
      <alignment horizontal="center" vertical="center" wrapText="1"/>
    </xf>
    <xf numFmtId="10" fontId="7" fillId="5" borderId="17" xfId="3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 readingOrder="1"/>
    </xf>
    <xf numFmtId="0" fontId="16" fillId="0" borderId="22" xfId="0" applyFont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 readingOrder="1"/>
    </xf>
    <xf numFmtId="43" fontId="8" fillId="2" borderId="22" xfId="1" applyFont="1" applyFill="1" applyBorder="1" applyAlignment="1">
      <alignment horizontal="center" vertical="center" wrapText="1"/>
    </xf>
    <xf numFmtId="43" fontId="17" fillId="2" borderId="22" xfId="1" applyFont="1" applyFill="1" applyBorder="1" applyAlignment="1">
      <alignment horizontal="center" vertical="center" wrapText="1"/>
    </xf>
    <xf numFmtId="167" fontId="8" fillId="2" borderId="22" xfId="0" applyNumberFormat="1" applyFont="1" applyFill="1" applyBorder="1" applyAlignment="1">
      <alignment horizontal="center" vertical="center" wrapText="1"/>
    </xf>
    <xf numFmtId="10" fontId="8" fillId="0" borderId="18" xfId="3" applyNumberFormat="1" applyFont="1" applyFill="1" applyBorder="1" applyAlignment="1">
      <alignment horizontal="center" vertical="center" wrapText="1"/>
    </xf>
    <xf numFmtId="10" fontId="8" fillId="2" borderId="17" xfId="3" applyNumberFormat="1" applyFont="1" applyFill="1" applyBorder="1" applyAlignment="1">
      <alignment horizontal="center" vertical="center" wrapText="1"/>
    </xf>
    <xf numFmtId="10" fontId="8" fillId="2" borderId="18" xfId="3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43" fontId="7" fillId="5" borderId="22" xfId="1" applyFont="1" applyFill="1" applyBorder="1" applyAlignment="1">
      <alignment horizontal="center" vertical="center" wrapText="1"/>
    </xf>
    <xf numFmtId="43" fontId="18" fillId="2" borderId="0" xfId="0" applyNumberFormat="1" applyFont="1" applyFill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left" vertical="center" wrapText="1"/>
    </xf>
    <xf numFmtId="49" fontId="7" fillId="5" borderId="19" xfId="0" applyNumberFormat="1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vertical="center" wrapText="1"/>
    </xf>
    <xf numFmtId="49" fontId="7" fillId="5" borderId="21" xfId="0" applyNumberFormat="1" applyFont="1" applyFill="1" applyBorder="1" applyAlignment="1">
      <alignment vertical="center" wrapText="1"/>
    </xf>
    <xf numFmtId="9" fontId="7" fillId="5" borderId="18" xfId="3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8" fontId="17" fillId="2" borderId="22" xfId="6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167" fontId="17" fillId="2" borderId="22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 readingOrder="1"/>
    </xf>
    <xf numFmtId="49" fontId="16" fillId="0" borderId="22" xfId="0" applyNumberFormat="1" applyFont="1" applyBorder="1" applyAlignment="1">
      <alignment horizontal="center" vertical="center" wrapText="1" readingOrder="1"/>
    </xf>
    <xf numFmtId="49" fontId="17" fillId="2" borderId="22" xfId="0" applyNumberFormat="1" applyFont="1" applyFill="1" applyBorder="1" applyAlignment="1">
      <alignment horizontal="center" vertical="center" wrapText="1"/>
    </xf>
    <xf numFmtId="43" fontId="8" fillId="0" borderId="22" xfId="1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2" fontId="7" fillId="5" borderId="22" xfId="0" applyNumberFormat="1" applyFont="1" applyFill="1" applyBorder="1" applyAlignment="1">
      <alignment horizontal="left" vertical="center" wrapText="1"/>
    </xf>
    <xf numFmtId="10" fontId="7" fillId="2" borderId="0" xfId="0" applyNumberFormat="1" applyFont="1" applyFill="1" applyAlignment="1">
      <alignment horizontal="center" vertical="center" wrapText="1"/>
    </xf>
    <xf numFmtId="165" fontId="19" fillId="2" borderId="0" xfId="0" applyNumberFormat="1" applyFont="1" applyFill="1" applyAlignment="1">
      <alignment horizontal="center" vertical="center" wrapText="1"/>
    </xf>
    <xf numFmtId="1" fontId="17" fillId="2" borderId="22" xfId="4" applyNumberFormat="1" applyFont="1" applyFill="1" applyBorder="1" applyAlignment="1">
      <alignment horizontal="center" vertical="center" wrapText="1"/>
    </xf>
    <xf numFmtId="1" fontId="17" fillId="2" borderId="22" xfId="4" applyNumberFormat="1" applyFont="1" applyFill="1" applyBorder="1" applyAlignment="1">
      <alignment horizontal="left" vertical="center" wrapText="1"/>
    </xf>
    <xf numFmtId="167" fontId="7" fillId="7" borderId="22" xfId="0" applyNumberFormat="1" applyFont="1" applyFill="1" applyBorder="1" applyAlignment="1">
      <alignment horizontal="center" vertical="center" wrapText="1"/>
    </xf>
    <xf numFmtId="10" fontId="7" fillId="7" borderId="18" xfId="3" applyNumberFormat="1" applyFont="1" applyFill="1" applyBorder="1" applyAlignment="1">
      <alignment horizontal="center" vertical="center" wrapText="1"/>
    </xf>
    <xf numFmtId="10" fontId="7" fillId="7" borderId="17" xfId="3" applyNumberFormat="1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 readingOrder="1"/>
    </xf>
    <xf numFmtId="0" fontId="17" fillId="5" borderId="22" xfId="0" applyFont="1" applyFill="1" applyBorder="1" applyAlignment="1">
      <alignment horizontal="center" vertical="center" wrapText="1" readingOrder="1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22" xfId="0" applyFont="1" applyFill="1" applyBorder="1" applyAlignment="1">
      <alignment horizontal="center" vertical="center" wrapText="1" readingOrder="1"/>
    </xf>
    <xf numFmtId="0" fontId="21" fillId="2" borderId="22" xfId="0" applyFont="1" applyFill="1" applyBorder="1" applyAlignment="1">
      <alignment horizontal="center" vertical="center" wrapText="1" readingOrder="1"/>
    </xf>
    <xf numFmtId="49" fontId="8" fillId="2" borderId="22" xfId="2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10" fontId="7" fillId="0" borderId="18" xfId="3" applyNumberFormat="1" applyFont="1" applyFill="1" applyBorder="1" applyAlignment="1">
      <alignment horizontal="center" vertical="center" wrapText="1"/>
    </xf>
    <xf numFmtId="10" fontId="7" fillId="0" borderId="17" xfId="3" applyNumberFormat="1" applyFont="1" applyFill="1" applyBorder="1" applyAlignment="1">
      <alignment horizontal="center" vertical="center" wrapText="1"/>
    </xf>
    <xf numFmtId="167" fontId="6" fillId="4" borderId="27" xfId="0" applyNumberFormat="1" applyFont="1" applyFill="1" applyBorder="1" applyAlignment="1">
      <alignment horizontal="center" vertical="center" wrapText="1"/>
    </xf>
    <xf numFmtId="10" fontId="6" fillId="4" borderId="28" xfId="3" applyNumberFormat="1" applyFont="1" applyFill="1" applyBorder="1" applyAlignment="1">
      <alignment horizontal="center" vertical="center" wrapText="1"/>
    </xf>
    <xf numFmtId="10" fontId="6" fillId="4" borderId="29" xfId="3" applyNumberFormat="1" applyFont="1" applyFill="1" applyBorder="1" applyAlignment="1">
      <alignment horizontal="center" vertical="center" wrapText="1"/>
    </xf>
    <xf numFmtId="9" fontId="22" fillId="2" borderId="0" xfId="3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7" fontId="7" fillId="0" borderId="0" xfId="0" applyNumberFormat="1" applyFont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167" fontId="15" fillId="0" borderId="0" xfId="0" applyNumberFormat="1" applyFont="1" applyAlignment="1">
      <alignment horizontal="center" vertical="center" wrapText="1"/>
    </xf>
    <xf numFmtId="10" fontId="7" fillId="0" borderId="0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0" fontId="8" fillId="2" borderId="0" xfId="3" applyNumberFormat="1" applyFont="1" applyFill="1" applyBorder="1" applyAlignment="1">
      <alignment horizontal="center" vertical="center" wrapText="1"/>
    </xf>
    <xf numFmtId="41" fontId="15" fillId="2" borderId="0" xfId="2" applyFont="1" applyFill="1" applyBorder="1" applyAlignment="1">
      <alignment horizontal="center" vertical="center" wrapText="1"/>
    </xf>
    <xf numFmtId="169" fontId="16" fillId="0" borderId="0" xfId="0" applyNumberFormat="1" applyFont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10" fontId="8" fillId="2" borderId="0" xfId="3" applyNumberFormat="1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170" fontId="8" fillId="2" borderId="0" xfId="0" applyNumberFormat="1" applyFont="1" applyFill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0" fontId="25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65" fontId="7" fillId="2" borderId="0" xfId="4" applyNumberFormat="1" applyFont="1" applyFill="1" applyAlignment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165" fontId="8" fillId="2" borderId="0" xfId="3" applyNumberFormat="1" applyFont="1" applyFill="1" applyAlignment="1">
      <alignment horizontal="center" vertical="center" wrapText="1"/>
    </xf>
    <xf numFmtId="165" fontId="8" fillId="2" borderId="0" xfId="2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67" fontId="7" fillId="2" borderId="0" xfId="0" applyNumberFormat="1" applyFont="1" applyFill="1" applyAlignment="1">
      <alignment horizontal="center" vertical="center" wrapText="1"/>
    </xf>
    <xf numFmtId="167" fontId="8" fillId="2" borderId="0" xfId="0" applyNumberFormat="1" applyFont="1" applyFill="1" applyAlignment="1">
      <alignment horizontal="center" vertical="center" wrapText="1"/>
    </xf>
    <xf numFmtId="10" fontId="28" fillId="2" borderId="0" xfId="3" applyNumberFormat="1" applyFont="1" applyFill="1" applyAlignment="1">
      <alignment horizontal="center" vertical="center" wrapText="1"/>
    </xf>
    <xf numFmtId="7" fontId="8" fillId="2" borderId="22" xfId="1" applyNumberFormat="1" applyFont="1" applyFill="1" applyBorder="1" applyAlignment="1">
      <alignment horizontal="right" vertical="center" wrapText="1"/>
    </xf>
    <xf numFmtId="7" fontId="17" fillId="2" borderId="22" xfId="1" applyNumberFormat="1" applyFont="1" applyFill="1" applyBorder="1" applyAlignment="1">
      <alignment horizontal="right" vertical="center" wrapText="1"/>
    </xf>
    <xf numFmtId="43" fontId="7" fillId="5" borderId="22" xfId="1" applyFont="1" applyFill="1" applyBorder="1" applyAlignment="1">
      <alignment horizontal="right" vertical="center" wrapText="1"/>
    </xf>
    <xf numFmtId="167" fontId="17" fillId="2" borderId="22" xfId="0" applyNumberFormat="1" applyFont="1" applyFill="1" applyBorder="1" applyAlignment="1">
      <alignment horizontal="right" vertical="center" wrapText="1"/>
    </xf>
    <xf numFmtId="7" fontId="8" fillId="0" borderId="22" xfId="1" applyNumberFormat="1" applyFont="1" applyFill="1" applyBorder="1" applyAlignment="1">
      <alignment horizontal="right" vertical="center" wrapText="1"/>
    </xf>
    <xf numFmtId="167" fontId="7" fillId="5" borderId="22" xfId="0" applyNumberFormat="1" applyFont="1" applyFill="1" applyBorder="1" applyAlignment="1">
      <alignment horizontal="right" vertical="center" wrapText="1"/>
    </xf>
    <xf numFmtId="167" fontId="15" fillId="2" borderId="22" xfId="0" applyNumberFormat="1" applyFont="1" applyFill="1" applyBorder="1" applyAlignment="1">
      <alignment horizontal="right" vertical="center" wrapText="1"/>
    </xf>
    <xf numFmtId="167" fontId="7" fillId="7" borderId="22" xfId="0" applyNumberFormat="1" applyFont="1" applyFill="1" applyBorder="1" applyAlignment="1">
      <alignment horizontal="right" vertical="center" wrapText="1"/>
    </xf>
    <xf numFmtId="167" fontId="6" fillId="4" borderId="27" xfId="0" applyNumberFormat="1" applyFont="1" applyFill="1" applyBorder="1" applyAlignment="1">
      <alignment horizontal="right" vertical="center" wrapText="1"/>
    </xf>
    <xf numFmtId="167" fontId="8" fillId="0" borderId="2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9" borderId="30" xfId="0" applyFont="1" applyFill="1" applyBorder="1" applyAlignment="1">
      <alignment horizontal="center" vertical="center" wrapText="1"/>
    </xf>
    <xf numFmtId="41" fontId="31" fillId="9" borderId="30" xfId="2" applyFont="1" applyFill="1" applyBorder="1" applyAlignment="1">
      <alignment horizontal="center" vertical="center" wrapText="1"/>
    </xf>
    <xf numFmtId="10" fontId="31" fillId="9" borderId="30" xfId="2" applyNumberFormat="1" applyFont="1" applyFill="1" applyBorder="1" applyAlignment="1">
      <alignment horizontal="center" vertical="center" wrapText="1"/>
    </xf>
    <xf numFmtId="10" fontId="32" fillId="9" borderId="30" xfId="2" applyNumberFormat="1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left" vertical="center"/>
    </xf>
    <xf numFmtId="171" fontId="33" fillId="2" borderId="30" xfId="2" applyNumberFormat="1" applyFont="1" applyFill="1" applyBorder="1" applyAlignment="1">
      <alignment horizontal="center" vertical="center"/>
    </xf>
    <xf numFmtId="41" fontId="33" fillId="2" borderId="30" xfId="2" applyFont="1" applyFill="1" applyBorder="1" applyAlignment="1">
      <alignment horizontal="center" vertical="center"/>
    </xf>
    <xf numFmtId="10" fontId="33" fillId="2" borderId="30" xfId="3" applyNumberFormat="1" applyFont="1" applyFill="1" applyBorder="1" applyAlignment="1">
      <alignment horizontal="center" vertical="center"/>
    </xf>
    <xf numFmtId="41" fontId="33" fillId="0" borderId="30" xfId="2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/>
    </xf>
    <xf numFmtId="41" fontId="17" fillId="3" borderId="30" xfId="2" applyFont="1" applyFill="1" applyBorder="1" applyAlignment="1">
      <alignment horizontal="center" vertical="center"/>
    </xf>
    <xf numFmtId="10" fontId="33" fillId="3" borderId="30" xfId="3" applyNumberFormat="1" applyFont="1" applyFill="1" applyBorder="1" applyAlignment="1">
      <alignment horizontal="center" vertical="center"/>
    </xf>
    <xf numFmtId="165" fontId="17" fillId="3" borderId="30" xfId="1" applyNumberFormat="1" applyFont="1" applyFill="1" applyBorder="1" applyAlignment="1">
      <alignment horizontal="center" vertical="center"/>
    </xf>
    <xf numFmtId="0" fontId="29" fillId="7" borderId="30" xfId="0" applyFont="1" applyFill="1" applyBorder="1" applyAlignment="1">
      <alignment horizontal="right" vertical="center"/>
    </xf>
    <xf numFmtId="171" fontId="29" fillId="7" borderId="30" xfId="2" applyNumberFormat="1" applyFont="1" applyFill="1" applyBorder="1" applyAlignment="1">
      <alignment horizontal="center" vertical="center"/>
    </xf>
    <xf numFmtId="41" fontId="29" fillId="7" borderId="30" xfId="2" applyFont="1" applyFill="1" applyBorder="1" applyAlignment="1">
      <alignment horizontal="center" vertical="center"/>
    </xf>
    <xf numFmtId="10" fontId="29" fillId="7" borderId="30" xfId="3" applyNumberFormat="1" applyFont="1" applyFill="1" applyBorder="1" applyAlignment="1">
      <alignment horizontal="center" vertical="center"/>
    </xf>
    <xf numFmtId="2" fontId="33" fillId="2" borderId="30" xfId="0" applyNumberFormat="1" applyFont="1" applyFill="1" applyBorder="1" applyAlignment="1">
      <alignment horizontal="left" vertical="center"/>
    </xf>
    <xf numFmtId="0" fontId="34" fillId="10" borderId="30" xfId="0" applyFont="1" applyFill="1" applyBorder="1" applyAlignment="1">
      <alignment horizontal="right" vertical="center"/>
    </xf>
    <xf numFmtId="171" fontId="34" fillId="10" borderId="30" xfId="2" applyNumberFormat="1" applyFont="1" applyFill="1" applyBorder="1" applyAlignment="1">
      <alignment horizontal="center" vertical="center"/>
    </xf>
    <xf numFmtId="41" fontId="34" fillId="10" borderId="30" xfId="2" applyFont="1" applyFill="1" applyBorder="1" applyAlignment="1">
      <alignment horizontal="center" vertical="center"/>
    </xf>
    <xf numFmtId="10" fontId="35" fillId="8" borderId="30" xfId="2" applyNumberFormat="1" applyFont="1" applyFill="1" applyBorder="1" applyAlignment="1">
      <alignment horizontal="center" vertical="center"/>
    </xf>
    <xf numFmtId="10" fontId="35" fillId="4" borderId="30" xfId="2" applyNumberFormat="1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right" vertical="center"/>
    </xf>
    <xf numFmtId="171" fontId="34" fillId="4" borderId="30" xfId="2" applyNumberFormat="1" applyFont="1" applyFill="1" applyBorder="1" applyAlignment="1">
      <alignment horizontal="center" vertical="center"/>
    </xf>
    <xf numFmtId="41" fontId="34" fillId="4" borderId="30" xfId="2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1" fontId="29" fillId="0" borderId="0" xfId="0" applyNumberFormat="1" applyFont="1" applyAlignment="1">
      <alignment horizontal="center" vertical="center"/>
    </xf>
    <xf numFmtId="2" fontId="33" fillId="2" borderId="30" xfId="0" applyNumberFormat="1" applyFont="1" applyFill="1" applyBorder="1" applyAlignment="1">
      <alignment horizontal="left" vertical="center" wrapText="1"/>
    </xf>
    <xf numFmtId="171" fontId="33" fillId="0" borderId="30" xfId="2" applyNumberFormat="1" applyFont="1" applyFill="1" applyBorder="1" applyAlignment="1">
      <alignment horizontal="center" vertical="center"/>
    </xf>
    <xf numFmtId="171" fontId="17" fillId="3" borderId="30" xfId="2" applyNumberFormat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 wrapText="1"/>
    </xf>
    <xf numFmtId="0" fontId="33" fillId="2" borderId="3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7" fillId="0" borderId="0" xfId="0" applyFont="1"/>
    <xf numFmtId="0" fontId="38" fillId="0" borderId="1" xfId="0" applyFont="1" applyBorder="1" applyAlignment="1">
      <alignment horizontal="center" vertical="center" readingOrder="1"/>
    </xf>
    <xf numFmtId="0" fontId="38" fillId="0" borderId="1" xfId="0" applyFont="1" applyBorder="1" applyAlignment="1">
      <alignment horizontal="left" vertical="center" readingOrder="1"/>
    </xf>
    <xf numFmtId="0" fontId="38" fillId="0" borderId="1" xfId="0" applyFont="1" applyBorder="1" applyAlignment="1">
      <alignment vertical="center" readingOrder="1"/>
    </xf>
    <xf numFmtId="164" fontId="38" fillId="0" borderId="1" xfId="0" applyNumberFormat="1" applyFont="1" applyBorder="1" applyAlignment="1">
      <alignment horizontal="right" vertical="center" readingOrder="1"/>
    </xf>
    <xf numFmtId="7" fontId="37" fillId="0" borderId="0" xfId="0" applyNumberFormat="1" applyFont="1"/>
    <xf numFmtId="0" fontId="36" fillId="0" borderId="1" xfId="0" applyFont="1" applyBorder="1" applyAlignment="1">
      <alignment horizontal="left" vertical="center" readingOrder="1"/>
    </xf>
    <xf numFmtId="0" fontId="39" fillId="0" borderId="1" xfId="0" applyFont="1" applyBorder="1" applyAlignment="1">
      <alignment horizontal="right" vertical="center" readingOrder="1"/>
    </xf>
    <xf numFmtId="0" fontId="3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2" fillId="4" borderId="7" xfId="4" applyNumberFormat="1" applyFont="1" applyFill="1" applyBorder="1" applyAlignment="1">
      <alignment horizontal="center" vertical="center" wrapText="1"/>
    </xf>
    <xf numFmtId="1" fontId="12" fillId="4" borderId="13" xfId="4" applyNumberFormat="1" applyFont="1" applyFill="1" applyBorder="1" applyAlignment="1">
      <alignment horizontal="center" vertical="center" wrapText="1"/>
    </xf>
    <xf numFmtId="1" fontId="12" fillId="4" borderId="8" xfId="4" applyNumberFormat="1" applyFont="1" applyFill="1" applyBorder="1" applyAlignment="1">
      <alignment horizontal="center" vertical="center" wrapText="1"/>
    </xf>
    <xf numFmtId="1" fontId="12" fillId="4" borderId="14" xfId="4" applyNumberFormat="1" applyFont="1" applyFill="1" applyBorder="1" applyAlignment="1">
      <alignment horizontal="center" vertical="center" wrapText="1"/>
    </xf>
    <xf numFmtId="165" fontId="13" fillId="4" borderId="8" xfId="0" applyNumberFormat="1" applyFont="1" applyFill="1" applyBorder="1" applyAlignment="1">
      <alignment horizontal="center" vertical="center" wrapText="1"/>
    </xf>
    <xf numFmtId="165" fontId="13" fillId="4" borderId="14" xfId="0" applyNumberFormat="1" applyFont="1" applyFill="1" applyBorder="1" applyAlignment="1">
      <alignment horizontal="center" vertical="center" wrapText="1"/>
    </xf>
    <xf numFmtId="10" fontId="13" fillId="4" borderId="10" xfId="3" applyNumberFormat="1" applyFont="1" applyFill="1" applyBorder="1" applyAlignment="1">
      <alignment horizontal="center" vertical="center" wrapText="1"/>
    </xf>
    <xf numFmtId="10" fontId="13" fillId="4" borderId="16" xfId="3" applyNumberFormat="1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right" vertical="center" wrapText="1"/>
    </xf>
    <xf numFmtId="0" fontId="7" fillId="7" borderId="20" xfId="0" applyFont="1" applyFill="1" applyBorder="1" applyAlignment="1">
      <alignment horizontal="right" vertical="center" wrapText="1"/>
    </xf>
    <xf numFmtId="0" fontId="7" fillId="7" borderId="21" xfId="0" applyFont="1" applyFill="1" applyBorder="1" applyAlignment="1">
      <alignment horizontal="right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left" vertical="center" wrapText="1" readingOrder="1"/>
    </xf>
    <xf numFmtId="0" fontId="20" fillId="5" borderId="20" xfId="0" applyFont="1" applyFill="1" applyBorder="1" applyAlignment="1">
      <alignment horizontal="left" vertical="center" wrapText="1" readingOrder="1"/>
    </xf>
    <xf numFmtId="0" fontId="20" fillId="5" borderId="21" xfId="0" applyFont="1" applyFill="1" applyBorder="1" applyAlignment="1">
      <alignment horizontal="left" vertical="center" wrapText="1" readingOrder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right" vertical="center" wrapText="1"/>
    </xf>
    <xf numFmtId="0" fontId="6" fillId="4" borderId="25" xfId="0" applyFont="1" applyFill="1" applyBorder="1" applyAlignment="1">
      <alignment horizontal="right" vertical="center" wrapText="1"/>
    </xf>
    <xf numFmtId="0" fontId="6" fillId="4" borderId="26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41" fontId="15" fillId="2" borderId="0" xfId="2" applyFont="1" applyFill="1" applyBorder="1" applyAlignment="1">
      <alignment horizontal="center" vertical="center" wrapText="1"/>
    </xf>
    <xf numFmtId="165" fontId="24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0" fontId="30" fillId="0" borderId="31" xfId="0" applyFont="1" applyBorder="1" applyAlignment="1">
      <alignment horizontal="left" vertical="center" wrapText="1"/>
    </xf>
    <xf numFmtId="0" fontId="40" fillId="0" borderId="0" xfId="4" applyFont="1" applyAlignment="1">
      <alignment horizontal="center" vertical="center" wrapText="1"/>
    </xf>
    <xf numFmtId="41" fontId="21" fillId="0" borderId="0" xfId="2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41" fillId="11" borderId="32" xfId="4" applyFont="1" applyFill="1" applyBorder="1" applyAlignment="1">
      <alignment horizontal="center" vertical="center" wrapText="1"/>
    </xf>
    <xf numFmtId="0" fontId="41" fillId="11" borderId="33" xfId="4" applyFont="1" applyFill="1" applyBorder="1" applyAlignment="1">
      <alignment horizontal="center" vertical="center" wrapText="1"/>
    </xf>
    <xf numFmtId="0" fontId="41" fillId="11" borderId="34" xfId="4" applyFont="1" applyFill="1" applyBorder="1" applyAlignment="1">
      <alignment horizontal="center" vertical="center" wrapText="1"/>
    </xf>
    <xf numFmtId="41" fontId="21" fillId="0" borderId="0" xfId="2" applyFont="1" applyFill="1" applyBorder="1" applyAlignment="1">
      <alignment horizontal="center" vertical="center" wrapText="1"/>
    </xf>
    <xf numFmtId="0" fontId="42" fillId="0" borderId="32" xfId="4" applyFont="1" applyBorder="1" applyAlignment="1">
      <alignment horizontal="center" vertical="center" wrapText="1"/>
    </xf>
    <xf numFmtId="0" fontId="42" fillId="0" borderId="33" xfId="4" applyFont="1" applyBorder="1" applyAlignment="1">
      <alignment horizontal="center" vertical="center" wrapText="1"/>
    </xf>
    <xf numFmtId="0" fontId="42" fillId="0" borderId="35" xfId="4" applyFont="1" applyBorder="1" applyAlignment="1">
      <alignment horizontal="center" vertical="center" wrapText="1"/>
    </xf>
    <xf numFmtId="172" fontId="42" fillId="12" borderId="8" xfId="4" applyNumberFormat="1" applyFont="1" applyFill="1" applyBorder="1" applyAlignment="1">
      <alignment horizontal="center" vertical="center" wrapText="1"/>
    </xf>
    <xf numFmtId="173" fontId="42" fillId="12" borderId="8" xfId="4" applyNumberFormat="1" applyFont="1" applyFill="1" applyBorder="1" applyAlignment="1">
      <alignment horizontal="center" vertical="center" wrapText="1"/>
    </xf>
    <xf numFmtId="173" fontId="43" fillId="12" borderId="8" xfId="4" applyNumberFormat="1" applyFont="1" applyFill="1" applyBorder="1" applyAlignment="1">
      <alignment horizontal="center" vertical="center" wrapText="1"/>
    </xf>
    <xf numFmtId="3" fontId="42" fillId="12" borderId="36" xfId="4" applyNumberFormat="1" applyFont="1" applyFill="1" applyBorder="1" applyAlignment="1">
      <alignment horizontal="center" vertical="center" wrapText="1"/>
    </xf>
    <xf numFmtId="3" fontId="42" fillId="12" borderId="8" xfId="1" applyNumberFormat="1" applyFont="1" applyFill="1" applyBorder="1" applyAlignment="1">
      <alignment horizontal="center" vertical="center" wrapText="1"/>
    </xf>
    <xf numFmtId="3" fontId="42" fillId="12" borderId="10" xfId="1" applyNumberFormat="1" applyFont="1" applyFill="1" applyBorder="1" applyAlignment="1">
      <alignment horizontal="center" vertical="center" wrapText="1"/>
    </xf>
    <xf numFmtId="1" fontId="42" fillId="13" borderId="7" xfId="4" applyNumberFormat="1" applyFont="1" applyFill="1" applyBorder="1" applyAlignment="1">
      <alignment horizontal="center" vertical="center" wrapText="1"/>
    </xf>
    <xf numFmtId="1" fontId="42" fillId="13" borderId="8" xfId="4" applyNumberFormat="1" applyFont="1" applyFill="1" applyBorder="1" applyAlignment="1">
      <alignment horizontal="center" vertical="center" wrapText="1"/>
    </xf>
    <xf numFmtId="0" fontId="42" fillId="13" borderId="8" xfId="4" applyFont="1" applyFill="1" applyBorder="1" applyAlignment="1">
      <alignment horizontal="center" vertical="center" wrapText="1"/>
    </xf>
    <xf numFmtId="0" fontId="43" fillId="13" borderId="8" xfId="4" applyFont="1" applyFill="1" applyBorder="1" applyAlignment="1">
      <alignment horizontal="center" vertical="center" wrapText="1"/>
    </xf>
    <xf numFmtId="3" fontId="42" fillId="13" borderId="8" xfId="4" applyNumberFormat="1" applyFont="1" applyFill="1" applyBorder="1" applyAlignment="1">
      <alignment horizontal="center" vertical="center" wrapText="1"/>
    </xf>
    <xf numFmtId="3" fontId="42" fillId="13" borderId="8" xfId="1" applyNumberFormat="1" applyFont="1" applyFill="1" applyBorder="1" applyAlignment="1">
      <alignment horizontal="center" vertical="center" wrapText="1"/>
    </xf>
    <xf numFmtId="3" fontId="42" fillId="13" borderId="10" xfId="1" applyNumberFormat="1" applyFont="1" applyFill="1" applyBorder="1" applyAlignment="1">
      <alignment horizontal="center" vertical="center" wrapText="1"/>
    </xf>
    <xf numFmtId="1" fontId="42" fillId="13" borderId="37" xfId="4" applyNumberFormat="1" applyFont="1" applyFill="1" applyBorder="1" applyAlignment="1">
      <alignment horizontal="center" vertical="center" wrapText="1"/>
    </xf>
    <xf numFmtId="1" fontId="42" fillId="13" borderId="38" xfId="4" applyNumberFormat="1" applyFont="1" applyFill="1" applyBorder="1" applyAlignment="1">
      <alignment horizontal="center" vertical="center" wrapText="1"/>
    </xf>
    <xf numFmtId="0" fontId="42" fillId="13" borderId="38" xfId="4" applyFont="1" applyFill="1" applyBorder="1" applyAlignment="1">
      <alignment horizontal="center" vertical="center" wrapText="1"/>
    </xf>
    <xf numFmtId="0" fontId="43" fillId="13" borderId="38" xfId="4" applyFont="1" applyFill="1" applyBorder="1" applyAlignment="1">
      <alignment horizontal="center" vertical="center" wrapText="1"/>
    </xf>
    <xf numFmtId="3" fontId="42" fillId="13" borderId="38" xfId="4" applyNumberFormat="1" applyFont="1" applyFill="1" applyBorder="1" applyAlignment="1">
      <alignment horizontal="center" vertical="center" wrapText="1"/>
    </xf>
    <xf numFmtId="3" fontId="42" fillId="13" borderId="38" xfId="1" applyNumberFormat="1" applyFont="1" applyFill="1" applyBorder="1" applyAlignment="1">
      <alignment horizontal="center" vertical="center" wrapText="1"/>
    </xf>
    <xf numFmtId="3" fontId="42" fillId="13" borderId="39" xfId="1" applyNumberFormat="1" applyFont="1" applyFill="1" applyBorder="1" applyAlignment="1">
      <alignment horizontal="center" vertical="center" wrapText="1"/>
    </xf>
    <xf numFmtId="166" fontId="42" fillId="7" borderId="17" xfId="5" applyFont="1" applyFill="1" applyBorder="1">
      <alignment horizontal="center" vertical="center" wrapText="1"/>
    </xf>
    <xf numFmtId="1" fontId="42" fillId="7" borderId="22" xfId="4" applyNumberFormat="1" applyFont="1" applyFill="1" applyBorder="1" applyAlignment="1">
      <alignment horizontal="center" vertical="center" wrapText="1"/>
    </xf>
    <xf numFmtId="166" fontId="42" fillId="7" borderId="22" xfId="5" applyFont="1" applyFill="1" applyBorder="1">
      <alignment horizontal="center" vertical="center" wrapText="1"/>
    </xf>
    <xf numFmtId="0" fontId="42" fillId="7" borderId="22" xfId="0" applyFont="1" applyFill="1" applyBorder="1" applyAlignment="1">
      <alignment horizontal="left" vertical="center" wrapText="1" readingOrder="1"/>
    </xf>
    <xf numFmtId="171" fontId="42" fillId="7" borderId="22" xfId="2" applyNumberFormat="1" applyFont="1" applyFill="1" applyBorder="1" applyAlignment="1">
      <alignment horizontal="center" vertical="center" wrapText="1"/>
    </xf>
    <xf numFmtId="9" fontId="43" fillId="7" borderId="22" xfId="3" applyFont="1" applyFill="1" applyBorder="1" applyAlignment="1">
      <alignment horizontal="center" vertical="center" wrapText="1"/>
    </xf>
    <xf numFmtId="9" fontId="42" fillId="7" borderId="22" xfId="3" applyFont="1" applyFill="1" applyBorder="1" applyAlignment="1">
      <alignment horizontal="center" vertical="center" wrapText="1"/>
    </xf>
    <xf numFmtId="9" fontId="42" fillId="7" borderId="18" xfId="3" applyFont="1" applyFill="1" applyBorder="1" applyAlignment="1">
      <alignment horizontal="center" vertical="center" wrapText="1"/>
    </xf>
    <xf numFmtId="41" fontId="42" fillId="0" borderId="0" xfId="2" applyFont="1" applyFill="1" applyBorder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2" fillId="0" borderId="6" xfId="4" applyFont="1" applyBorder="1" applyAlignment="1">
      <alignment horizontal="center" vertical="center" wrapText="1"/>
    </xf>
    <xf numFmtId="166" fontId="42" fillId="12" borderId="17" xfId="5" applyFont="1" applyFill="1" applyBorder="1">
      <alignment horizontal="center" vertical="center" wrapText="1"/>
    </xf>
    <xf numFmtId="166" fontId="42" fillId="12" borderId="22" xfId="5" applyFont="1" applyFill="1" applyBorder="1">
      <alignment horizontal="center" vertical="center" wrapText="1"/>
    </xf>
    <xf numFmtId="0" fontId="42" fillId="12" borderId="22" xfId="0" applyFont="1" applyFill="1" applyBorder="1" applyAlignment="1">
      <alignment horizontal="left" vertical="center" wrapText="1" readingOrder="1"/>
    </xf>
    <xf numFmtId="171" fontId="42" fillId="12" borderId="22" xfId="2" applyNumberFormat="1" applyFont="1" applyFill="1" applyBorder="1" applyAlignment="1">
      <alignment horizontal="center" vertical="center" wrapText="1"/>
    </xf>
    <xf numFmtId="9" fontId="43" fillId="12" borderId="22" xfId="3" applyFont="1" applyFill="1" applyBorder="1" applyAlignment="1">
      <alignment horizontal="center" vertical="center" wrapText="1"/>
    </xf>
    <xf numFmtId="9" fontId="42" fillId="12" borderId="22" xfId="3" applyFont="1" applyFill="1" applyBorder="1" applyAlignment="1">
      <alignment horizontal="center" vertical="center" wrapText="1"/>
    </xf>
    <xf numFmtId="9" fontId="42" fillId="12" borderId="18" xfId="3" applyFont="1" applyFill="1" applyBorder="1" applyAlignment="1">
      <alignment horizontal="center" vertical="center" wrapText="1"/>
    </xf>
    <xf numFmtId="3" fontId="21" fillId="0" borderId="0" xfId="4" applyNumberFormat="1" applyFont="1" applyAlignment="1">
      <alignment horizontal="center" vertical="center" wrapText="1"/>
    </xf>
    <xf numFmtId="0" fontId="42" fillId="5" borderId="17" xfId="0" applyFont="1" applyFill="1" applyBorder="1" applyAlignment="1">
      <alignment horizontal="center" vertical="center" wrapText="1" readingOrder="1"/>
    </xf>
    <xf numFmtId="0" fontId="42" fillId="5" borderId="22" xfId="0" applyFont="1" applyFill="1" applyBorder="1" applyAlignment="1">
      <alignment horizontal="center" vertical="center" wrapText="1" readingOrder="1"/>
    </xf>
    <xf numFmtId="0" fontId="42" fillId="5" borderId="22" xfId="0" applyFont="1" applyFill="1" applyBorder="1" applyAlignment="1">
      <alignment horizontal="left" vertical="center" wrapText="1" readingOrder="1"/>
    </xf>
    <xf numFmtId="171" fontId="42" fillId="5" borderId="22" xfId="2" applyNumberFormat="1" applyFont="1" applyFill="1" applyBorder="1" applyAlignment="1">
      <alignment horizontal="center" vertical="center" wrapText="1"/>
    </xf>
    <xf numFmtId="9" fontId="43" fillId="5" borderId="22" xfId="3" applyFont="1" applyFill="1" applyBorder="1" applyAlignment="1">
      <alignment horizontal="center" vertical="center" wrapText="1"/>
    </xf>
    <xf numFmtId="9" fontId="42" fillId="5" borderId="22" xfId="3" applyFont="1" applyFill="1" applyBorder="1" applyAlignment="1">
      <alignment horizontal="center" vertical="center" wrapText="1"/>
    </xf>
    <xf numFmtId="9" fontId="42" fillId="5" borderId="18" xfId="3" applyFont="1" applyFill="1" applyBorder="1" applyAlignment="1">
      <alignment horizontal="center" vertical="center" wrapText="1"/>
    </xf>
    <xf numFmtId="166" fontId="42" fillId="2" borderId="17" xfId="5" applyFont="1" applyFill="1" applyBorder="1">
      <alignment horizontal="center" vertical="center" wrapText="1"/>
    </xf>
    <xf numFmtId="166" fontId="42" fillId="2" borderId="22" xfId="5" applyFont="1" applyFill="1" applyBorder="1">
      <alignment horizontal="center" vertical="center" wrapText="1"/>
    </xf>
    <xf numFmtId="168" fontId="42" fillId="2" borderId="22" xfId="6" applyFont="1" applyFill="1" applyBorder="1" applyAlignment="1">
      <alignment horizontal="center" vertical="center" wrapText="1"/>
    </xf>
    <xf numFmtId="1" fontId="42" fillId="0" borderId="22" xfId="4" applyNumberFormat="1" applyFont="1" applyBorder="1" applyAlignment="1">
      <alignment horizontal="center" vertical="center" wrapText="1"/>
    </xf>
    <xf numFmtId="1" fontId="42" fillId="2" borderId="22" xfId="8" applyFont="1" applyFill="1" applyBorder="1" applyAlignment="1">
      <alignment horizontal="left" vertical="center" wrapText="1"/>
    </xf>
    <xf numFmtId="171" fontId="42" fillId="2" borderId="22" xfId="2" applyNumberFormat="1" applyFont="1" applyFill="1" applyBorder="1" applyAlignment="1">
      <alignment horizontal="center" vertical="center" wrapText="1"/>
    </xf>
    <xf numFmtId="9" fontId="43" fillId="0" borderId="22" xfId="3" applyFont="1" applyFill="1" applyBorder="1" applyAlignment="1">
      <alignment horizontal="center" vertical="center" wrapText="1"/>
    </xf>
    <xf numFmtId="9" fontId="42" fillId="2" borderId="22" xfId="3" applyFont="1" applyFill="1" applyBorder="1" applyAlignment="1">
      <alignment horizontal="center" vertical="center" wrapText="1"/>
    </xf>
    <xf numFmtId="9" fontId="42" fillId="2" borderId="18" xfId="3" applyFont="1" applyFill="1" applyBorder="1" applyAlignment="1">
      <alignment horizontal="center" vertical="center" wrapText="1"/>
    </xf>
    <xf numFmtId="166" fontId="21" fillId="2" borderId="17" xfId="5" applyFont="1" applyFill="1" applyBorder="1">
      <alignment horizontal="center" vertical="center" wrapText="1"/>
    </xf>
    <xf numFmtId="166" fontId="21" fillId="2" borderId="22" xfId="5" applyFont="1" applyFill="1" applyBorder="1">
      <alignment horizontal="center" vertical="center" wrapText="1"/>
    </xf>
    <xf numFmtId="168" fontId="21" fillId="2" borderId="22" xfId="6" applyFont="1" applyFill="1" applyBorder="1" applyAlignment="1">
      <alignment horizontal="center" vertical="center" wrapText="1"/>
    </xf>
    <xf numFmtId="166" fontId="21" fillId="2" borderId="22" xfId="5" quotePrefix="1" applyFont="1" applyFill="1" applyBorder="1">
      <alignment horizontal="center" vertical="center" wrapText="1"/>
    </xf>
    <xf numFmtId="49" fontId="21" fillId="2" borderId="22" xfId="0" applyNumberFormat="1" applyFont="1" applyFill="1" applyBorder="1" applyAlignment="1">
      <alignment horizontal="left" vertical="center" wrapText="1"/>
    </xf>
    <xf numFmtId="171" fontId="21" fillId="2" borderId="22" xfId="2" applyNumberFormat="1" applyFont="1" applyFill="1" applyBorder="1" applyAlignment="1">
      <alignment horizontal="center" vertical="center" wrapText="1" readingOrder="1"/>
    </xf>
    <xf numFmtId="171" fontId="21" fillId="2" borderId="22" xfId="2" applyNumberFormat="1" applyFont="1" applyFill="1" applyBorder="1" applyAlignment="1">
      <alignment horizontal="center" vertical="center" wrapText="1"/>
    </xf>
    <xf numFmtId="9" fontId="21" fillId="2" borderId="22" xfId="3" applyFont="1" applyFill="1" applyBorder="1" applyAlignment="1">
      <alignment horizontal="center" vertical="center" wrapText="1"/>
    </xf>
    <xf numFmtId="9" fontId="21" fillId="2" borderId="18" xfId="3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 readingOrder="1"/>
    </xf>
    <xf numFmtId="41" fontId="42" fillId="0" borderId="0" xfId="2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 readingOrder="1"/>
    </xf>
    <xf numFmtId="49" fontId="42" fillId="2" borderId="22" xfId="0" applyNumberFormat="1" applyFont="1" applyFill="1" applyBorder="1" applyAlignment="1">
      <alignment horizontal="left" vertical="center" wrapText="1"/>
    </xf>
    <xf numFmtId="171" fontId="42" fillId="0" borderId="22" xfId="2" applyNumberFormat="1" applyFont="1" applyFill="1" applyBorder="1" applyAlignment="1">
      <alignment horizontal="center" vertical="center" wrapText="1"/>
    </xf>
    <xf numFmtId="9" fontId="42" fillId="0" borderId="22" xfId="3" applyFont="1" applyFill="1" applyBorder="1" applyAlignment="1">
      <alignment horizontal="center" vertical="center" wrapText="1"/>
    </xf>
    <xf numFmtId="9" fontId="42" fillId="0" borderId="18" xfId="3" applyFont="1" applyFill="1" applyBorder="1" applyAlignment="1">
      <alignment horizontal="center" vertical="center" wrapText="1"/>
    </xf>
    <xf numFmtId="171" fontId="21" fillId="0" borderId="22" xfId="2" applyNumberFormat="1" applyFont="1" applyFill="1" applyBorder="1" applyAlignment="1">
      <alignment horizontal="center" vertical="center" wrapText="1" readingOrder="1"/>
    </xf>
    <xf numFmtId="166" fontId="42" fillId="5" borderId="17" xfId="5" applyFont="1" applyFill="1" applyBorder="1">
      <alignment horizontal="center" vertical="center" wrapText="1"/>
    </xf>
    <xf numFmtId="166" fontId="42" fillId="5" borderId="22" xfId="5" applyFont="1" applyFill="1" applyBorder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 readingOrder="1"/>
    </xf>
    <xf numFmtId="1" fontId="42" fillId="5" borderId="22" xfId="4" applyNumberFormat="1" applyFont="1" applyFill="1" applyBorder="1" applyAlignment="1">
      <alignment horizontal="center" vertical="center" wrapText="1"/>
    </xf>
    <xf numFmtId="3" fontId="42" fillId="0" borderId="0" xfId="4" applyNumberFormat="1" applyFont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1" fontId="42" fillId="2" borderId="22" xfId="4" applyNumberFormat="1" applyFont="1" applyFill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left" vertical="center" wrapText="1" readingOrder="1"/>
    </xf>
    <xf numFmtId="9" fontId="43" fillId="2" borderId="22" xfId="3" applyFont="1" applyFill="1" applyBorder="1" applyAlignment="1">
      <alignment horizontal="center" vertical="center" wrapText="1"/>
    </xf>
    <xf numFmtId="41" fontId="42" fillId="2" borderId="0" xfId="2" applyFont="1" applyFill="1" applyBorder="1" applyAlignment="1">
      <alignment horizontal="center" vertical="center" wrapText="1"/>
    </xf>
    <xf numFmtId="3" fontId="42" fillId="2" borderId="0" xfId="4" applyNumberFormat="1" applyFont="1" applyFill="1" applyAlignment="1">
      <alignment horizontal="center" vertical="center" wrapText="1"/>
    </xf>
    <xf numFmtId="0" fontId="21" fillId="2" borderId="0" xfId="4" applyFont="1" applyFill="1" applyAlignment="1">
      <alignment horizontal="center" vertical="center" wrapText="1"/>
    </xf>
    <xf numFmtId="0" fontId="21" fillId="2" borderId="6" xfId="4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center" wrapText="1" readingOrder="1"/>
    </xf>
    <xf numFmtId="9" fontId="43" fillId="0" borderId="22" xfId="3" applyFont="1" applyFill="1" applyBorder="1" applyAlignment="1">
      <alignment horizontal="center" vertical="center" wrapText="1" readingOrder="1"/>
    </xf>
    <xf numFmtId="9" fontId="42" fillId="0" borderId="22" xfId="3" applyFont="1" applyFill="1" applyBorder="1" applyAlignment="1">
      <alignment horizontal="center" vertical="center" wrapText="1" readingOrder="1"/>
    </xf>
    <xf numFmtId="9" fontId="42" fillId="0" borderId="18" xfId="3" applyFont="1" applyFill="1" applyBorder="1" applyAlignment="1">
      <alignment horizontal="center" vertical="center" wrapText="1" readingOrder="1"/>
    </xf>
    <xf numFmtId="171" fontId="43" fillId="0" borderId="22" xfId="2" applyNumberFormat="1" applyFont="1" applyFill="1" applyBorder="1" applyAlignment="1">
      <alignment horizontal="center" vertical="center" wrapText="1" readingOrder="1"/>
    </xf>
    <xf numFmtId="171" fontId="42" fillId="0" borderId="22" xfId="2" applyNumberFormat="1" applyFont="1" applyFill="1" applyBorder="1" applyAlignment="1">
      <alignment horizontal="center" vertical="center" wrapText="1" readingOrder="1"/>
    </xf>
    <xf numFmtId="0" fontId="21" fillId="0" borderId="22" xfId="0" applyFont="1" applyBorder="1" applyAlignment="1">
      <alignment horizontal="left" vertical="center" wrapText="1" readingOrder="1"/>
    </xf>
    <xf numFmtId="9" fontId="44" fillId="0" borderId="22" xfId="3" applyFont="1" applyFill="1" applyBorder="1" applyAlignment="1">
      <alignment horizontal="center" vertical="center" wrapText="1" readingOrder="1"/>
    </xf>
    <xf numFmtId="9" fontId="21" fillId="0" borderId="22" xfId="3" applyFont="1" applyFill="1" applyBorder="1" applyAlignment="1">
      <alignment horizontal="center" vertical="center" wrapText="1" readingOrder="1"/>
    </xf>
    <xf numFmtId="9" fontId="21" fillId="0" borderId="18" xfId="3" applyFont="1" applyFill="1" applyBorder="1" applyAlignment="1">
      <alignment horizontal="center" vertical="center" wrapText="1" readingOrder="1"/>
    </xf>
    <xf numFmtId="166" fontId="42" fillId="0" borderId="17" xfId="5" applyFont="1" applyFill="1" applyBorder="1">
      <alignment horizontal="center" vertical="center" wrapText="1"/>
    </xf>
    <xf numFmtId="166" fontId="42" fillId="0" borderId="22" xfId="5" applyFont="1" applyFill="1" applyBorder="1">
      <alignment horizontal="center" vertical="center" wrapText="1"/>
    </xf>
    <xf numFmtId="168" fontId="42" fillId="0" borderId="22" xfId="6" applyFont="1" applyFill="1" applyBorder="1" applyAlignment="1">
      <alignment horizontal="center" vertical="center" wrapText="1"/>
    </xf>
    <xf numFmtId="166" fontId="21" fillId="0" borderId="17" xfId="5" applyFont="1" applyFill="1" applyBorder="1">
      <alignment horizontal="center" vertical="center" wrapText="1"/>
    </xf>
    <xf numFmtId="166" fontId="21" fillId="0" borderId="22" xfId="5" applyFont="1" applyFill="1" applyBorder="1">
      <alignment horizontal="center" vertical="center" wrapText="1"/>
    </xf>
    <xf numFmtId="168" fontId="21" fillId="0" borderId="22" xfId="6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readingOrder="1"/>
    </xf>
    <xf numFmtId="174" fontId="21" fillId="0" borderId="0" xfId="4" applyNumberFormat="1" applyFont="1" applyAlignment="1">
      <alignment horizontal="center" vertical="center" wrapText="1"/>
    </xf>
    <xf numFmtId="1" fontId="21" fillId="0" borderId="22" xfId="4" applyNumberFormat="1" applyFont="1" applyBorder="1" applyAlignment="1">
      <alignment horizontal="center" vertical="center" wrapText="1"/>
    </xf>
    <xf numFmtId="2" fontId="42" fillId="0" borderId="22" xfId="4" applyNumberFormat="1" applyFont="1" applyBorder="1" applyAlignment="1">
      <alignment horizontal="left" vertical="center" wrapText="1"/>
    </xf>
    <xf numFmtId="0" fontId="42" fillId="5" borderId="22" xfId="0" applyFont="1" applyFill="1" applyBorder="1" applyAlignment="1">
      <alignment horizontal="center" vertical="center" wrapText="1"/>
    </xf>
    <xf numFmtId="171" fontId="42" fillId="5" borderId="22" xfId="2" applyNumberFormat="1" applyFont="1" applyFill="1" applyBorder="1" applyAlignment="1">
      <alignment horizontal="center" vertical="center" wrapText="1" readingOrder="1"/>
    </xf>
    <xf numFmtId="9" fontId="43" fillId="5" borderId="22" xfId="3" applyFont="1" applyFill="1" applyBorder="1" applyAlignment="1">
      <alignment horizontal="center" vertical="center" wrapText="1" readingOrder="1"/>
    </xf>
    <xf numFmtId="9" fontId="42" fillId="5" borderId="22" xfId="3" applyFont="1" applyFill="1" applyBorder="1" applyAlignment="1">
      <alignment horizontal="center" vertical="center" wrapText="1" readingOrder="1"/>
    </xf>
    <xf numFmtId="9" fontId="42" fillId="5" borderId="18" xfId="3" applyFont="1" applyFill="1" applyBorder="1" applyAlignment="1">
      <alignment horizontal="center" vertical="center" wrapText="1" readingOrder="1"/>
    </xf>
    <xf numFmtId="172" fontId="42" fillId="2" borderId="0" xfId="0" applyNumberFormat="1" applyFont="1" applyFill="1" applyAlignment="1">
      <alignment horizontal="center" vertical="center" wrapText="1"/>
    </xf>
    <xf numFmtId="172" fontId="42" fillId="0" borderId="0" xfId="0" applyNumberFormat="1" applyFont="1" applyAlignment="1">
      <alignment horizontal="center" vertical="center" wrapText="1"/>
    </xf>
    <xf numFmtId="175" fontId="42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176" fontId="42" fillId="0" borderId="0" xfId="0" applyNumberFormat="1" applyFont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 readingOrder="1"/>
    </xf>
    <xf numFmtId="0" fontId="42" fillId="0" borderId="22" xfId="0" quotePrefix="1" applyFont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left" vertical="center" wrapText="1" readingOrder="1"/>
    </xf>
    <xf numFmtId="41" fontId="21" fillId="2" borderId="0" xfId="2" applyFont="1" applyFill="1" applyBorder="1" applyAlignment="1">
      <alignment horizontal="center" vertical="center" wrapText="1"/>
    </xf>
    <xf numFmtId="0" fontId="42" fillId="5" borderId="22" xfId="0" quotePrefix="1" applyFont="1" applyFill="1" applyBorder="1" applyAlignment="1">
      <alignment horizontal="center" vertical="center" wrapText="1"/>
    </xf>
    <xf numFmtId="0" fontId="42" fillId="2" borderId="0" xfId="4" applyFont="1" applyFill="1" applyAlignment="1">
      <alignment horizontal="center" vertical="center" wrapText="1"/>
    </xf>
    <xf numFmtId="0" fontId="42" fillId="2" borderId="6" xfId="4" applyFont="1" applyFill="1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wrapText="1"/>
    </xf>
    <xf numFmtId="49" fontId="42" fillId="5" borderId="22" xfId="0" applyNumberFormat="1" applyFont="1" applyFill="1" applyBorder="1" applyAlignment="1">
      <alignment horizontal="center" vertical="center" wrapText="1"/>
    </xf>
    <xf numFmtId="49" fontId="42" fillId="5" borderId="22" xfId="0" applyNumberFormat="1" applyFont="1" applyFill="1" applyBorder="1" applyAlignment="1">
      <alignment horizontal="left" vertical="center" wrapText="1"/>
    </xf>
    <xf numFmtId="49" fontId="21" fillId="2" borderId="22" xfId="0" applyNumberFormat="1" applyFont="1" applyFill="1" applyBorder="1" applyAlignment="1">
      <alignment horizontal="center" vertical="center" wrapText="1"/>
    </xf>
    <xf numFmtId="10" fontId="44" fillId="0" borderId="22" xfId="3" applyNumberFormat="1" applyFont="1" applyFill="1" applyBorder="1" applyAlignment="1">
      <alignment horizontal="center" vertical="center" wrapText="1" readingOrder="1"/>
    </xf>
    <xf numFmtId="10" fontId="21" fillId="0" borderId="22" xfId="3" applyNumberFormat="1" applyFont="1" applyFill="1" applyBorder="1" applyAlignment="1">
      <alignment horizontal="center" vertical="center" wrapText="1" readingOrder="1"/>
    </xf>
    <xf numFmtId="10" fontId="21" fillId="0" borderId="18" xfId="3" applyNumberFormat="1" applyFont="1" applyFill="1" applyBorder="1" applyAlignment="1">
      <alignment horizontal="center" vertical="center" wrapText="1" readingOrder="1"/>
    </xf>
    <xf numFmtId="1" fontId="46" fillId="4" borderId="19" xfId="4" applyNumberFormat="1" applyFont="1" applyFill="1" applyBorder="1" applyAlignment="1">
      <alignment horizontal="center" vertical="center" wrapText="1"/>
    </xf>
    <xf numFmtId="1" fontId="46" fillId="4" borderId="20" xfId="4" applyNumberFormat="1" applyFont="1" applyFill="1" applyBorder="1" applyAlignment="1">
      <alignment horizontal="center" vertical="center" wrapText="1"/>
    </xf>
    <xf numFmtId="1" fontId="46" fillId="4" borderId="21" xfId="4" applyNumberFormat="1" applyFont="1" applyFill="1" applyBorder="1" applyAlignment="1">
      <alignment horizontal="center" vertical="center" wrapText="1"/>
    </xf>
    <xf numFmtId="2" fontId="46" fillId="4" borderId="22" xfId="4" applyNumberFormat="1" applyFont="1" applyFill="1" applyBorder="1" applyAlignment="1">
      <alignment horizontal="right" vertical="center" wrapText="1"/>
    </xf>
    <xf numFmtId="171" fontId="46" fillId="4" borderId="22" xfId="2" applyNumberFormat="1" applyFont="1" applyFill="1" applyBorder="1" applyAlignment="1">
      <alignment horizontal="center" vertical="center" wrapText="1"/>
    </xf>
    <xf numFmtId="9" fontId="47" fillId="4" borderId="22" xfId="3" applyFont="1" applyFill="1" applyBorder="1" applyAlignment="1">
      <alignment horizontal="center" vertical="center" wrapText="1"/>
    </xf>
    <xf numFmtId="9" fontId="46" fillId="4" borderId="22" xfId="3" applyFont="1" applyFill="1" applyBorder="1" applyAlignment="1">
      <alignment horizontal="center" vertical="center" wrapText="1"/>
    </xf>
    <xf numFmtId="9" fontId="46" fillId="4" borderId="18" xfId="3" applyFont="1" applyFill="1" applyBorder="1" applyAlignment="1">
      <alignment horizontal="center" vertical="center" wrapText="1"/>
    </xf>
    <xf numFmtId="41" fontId="48" fillId="2" borderId="0" xfId="2" applyFont="1" applyFill="1" applyBorder="1" applyAlignment="1">
      <alignment horizontal="center" vertical="center" wrapText="1"/>
    </xf>
    <xf numFmtId="0" fontId="48" fillId="2" borderId="0" xfId="4" applyFont="1" applyFill="1" applyAlignment="1">
      <alignment horizontal="center" vertical="center" wrapText="1"/>
    </xf>
    <xf numFmtId="0" fontId="48" fillId="2" borderId="6" xfId="4" applyFont="1" applyFill="1" applyBorder="1" applyAlignment="1">
      <alignment horizontal="center" vertical="center" wrapText="1"/>
    </xf>
    <xf numFmtId="0" fontId="42" fillId="7" borderId="17" xfId="0" applyFont="1" applyFill="1" applyBorder="1" applyAlignment="1">
      <alignment horizontal="center" vertical="center" wrapText="1" readingOrder="1"/>
    </xf>
    <xf numFmtId="0" fontId="42" fillId="7" borderId="22" xfId="0" applyFont="1" applyFill="1" applyBorder="1" applyAlignment="1">
      <alignment horizontal="center" vertical="center" wrapText="1" readingOrder="1"/>
    </xf>
    <xf numFmtId="171" fontId="42" fillId="7" borderId="22" xfId="2" applyNumberFormat="1" applyFont="1" applyFill="1" applyBorder="1" applyAlignment="1">
      <alignment horizontal="center" vertical="center" wrapText="1" readingOrder="1"/>
    </xf>
    <xf numFmtId="9" fontId="43" fillId="7" borderId="22" xfId="3" applyFont="1" applyFill="1" applyBorder="1" applyAlignment="1">
      <alignment horizontal="center" vertical="center" wrapText="1" readingOrder="1"/>
    </xf>
    <xf numFmtId="9" fontId="42" fillId="7" borderId="22" xfId="3" applyFont="1" applyFill="1" applyBorder="1" applyAlignment="1">
      <alignment horizontal="center" vertical="center" wrapText="1" readingOrder="1"/>
    </xf>
    <xf numFmtId="9" fontId="42" fillId="7" borderId="18" xfId="3" applyFont="1" applyFill="1" applyBorder="1" applyAlignment="1">
      <alignment horizontal="center" vertical="center" wrapText="1" readingOrder="1"/>
    </xf>
    <xf numFmtId="169" fontId="21" fillId="0" borderId="0" xfId="0" applyNumberFormat="1" applyFont="1" applyAlignment="1">
      <alignment horizontal="center" vertical="center" wrapText="1" readingOrder="1"/>
    </xf>
    <xf numFmtId="0" fontId="42" fillId="0" borderId="17" xfId="0" applyFont="1" applyBorder="1" applyAlignment="1">
      <alignment horizontal="center" vertical="center" wrapText="1" readingOrder="1"/>
    </xf>
    <xf numFmtId="42" fontId="42" fillId="0" borderId="0" xfId="7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 readingOrder="1"/>
    </xf>
    <xf numFmtId="0" fontId="42" fillId="2" borderId="22" xfId="0" applyFont="1" applyFill="1" applyBorder="1" applyAlignment="1">
      <alignment horizontal="center" vertical="center" wrapText="1" readingOrder="1"/>
    </xf>
    <xf numFmtId="49" fontId="42" fillId="2" borderId="22" xfId="0" applyNumberFormat="1" applyFont="1" applyFill="1" applyBorder="1" applyAlignment="1">
      <alignment horizontal="center" vertical="center" wrapText="1" readingOrder="1"/>
    </xf>
    <xf numFmtId="171" fontId="42" fillId="2" borderId="22" xfId="2" applyNumberFormat="1" applyFont="1" applyFill="1" applyBorder="1" applyAlignment="1">
      <alignment horizontal="center" vertical="center" wrapText="1" readingOrder="1"/>
    </xf>
    <xf numFmtId="9" fontId="43" fillId="2" borderId="22" xfId="3" applyFont="1" applyFill="1" applyBorder="1" applyAlignment="1">
      <alignment horizontal="center" vertical="center" wrapText="1" readingOrder="1"/>
    </xf>
    <xf numFmtId="9" fontId="42" fillId="2" borderId="22" xfId="3" applyFont="1" applyFill="1" applyBorder="1" applyAlignment="1">
      <alignment horizontal="center" vertical="center" wrapText="1" readingOrder="1"/>
    </xf>
    <xf numFmtId="9" fontId="42" fillId="2" borderId="18" xfId="3" applyFont="1" applyFill="1" applyBorder="1" applyAlignment="1">
      <alignment horizontal="center" vertical="center" wrapText="1" readingOrder="1"/>
    </xf>
    <xf numFmtId="0" fontId="21" fillId="2" borderId="17" xfId="0" applyFont="1" applyFill="1" applyBorder="1" applyAlignment="1">
      <alignment horizontal="center" vertical="center" wrapText="1" readingOrder="1"/>
    </xf>
    <xf numFmtId="49" fontId="21" fillId="2" borderId="22" xfId="0" applyNumberFormat="1" applyFont="1" applyFill="1" applyBorder="1" applyAlignment="1">
      <alignment horizontal="center" vertical="center" wrapText="1" readingOrder="1"/>
    </xf>
    <xf numFmtId="0" fontId="21" fillId="0" borderId="17" xfId="0" applyFont="1" applyBorder="1" applyAlignment="1">
      <alignment horizontal="center" vertical="center" wrapText="1" readingOrder="1"/>
    </xf>
    <xf numFmtId="49" fontId="21" fillId="0" borderId="22" xfId="0" applyNumberFormat="1" applyFont="1" applyBorder="1" applyAlignment="1">
      <alignment horizontal="center" vertical="center" wrapText="1" readingOrder="1"/>
    </xf>
    <xf numFmtId="0" fontId="44" fillId="0" borderId="22" xfId="3" applyNumberFormat="1" applyFont="1" applyFill="1" applyBorder="1" applyAlignment="1">
      <alignment horizontal="center" vertical="center" wrapText="1" readingOrder="1"/>
    </xf>
    <xf numFmtId="1" fontId="42" fillId="7" borderId="22" xfId="4" applyNumberFormat="1" applyFont="1" applyFill="1" applyBorder="1" applyAlignment="1">
      <alignment horizontal="left" vertical="center" wrapText="1"/>
    </xf>
    <xf numFmtId="1" fontId="42" fillId="5" borderId="22" xfId="4" applyNumberFormat="1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center" vertical="center" wrapText="1" readingOrder="1"/>
    </xf>
    <xf numFmtId="0" fontId="21" fillId="2" borderId="41" xfId="0" applyFont="1" applyFill="1" applyBorder="1" applyAlignment="1">
      <alignment horizontal="center" vertical="center" wrapText="1" readingOrder="1"/>
    </xf>
    <xf numFmtId="49" fontId="21" fillId="2" borderId="41" xfId="0" applyNumberFormat="1" applyFont="1" applyFill="1" applyBorder="1" applyAlignment="1">
      <alignment horizontal="center" vertical="center" wrapText="1" readingOrder="1"/>
    </xf>
    <xf numFmtId="49" fontId="21" fillId="2" borderId="42" xfId="0" applyNumberFormat="1" applyFont="1" applyFill="1" applyBorder="1" applyAlignment="1">
      <alignment horizontal="center" vertical="center" wrapText="1" readingOrder="1"/>
    </xf>
    <xf numFmtId="0" fontId="21" fillId="0" borderId="15" xfId="0" applyFont="1" applyBorder="1" applyAlignment="1">
      <alignment horizontal="left" vertical="center" wrapText="1" readingOrder="1"/>
    </xf>
    <xf numFmtId="171" fontId="21" fillId="0" borderId="15" xfId="2" applyNumberFormat="1" applyFont="1" applyFill="1" applyBorder="1" applyAlignment="1">
      <alignment horizontal="center" vertical="center" wrapText="1" readingOrder="1"/>
    </xf>
    <xf numFmtId="9" fontId="44" fillId="0" borderId="15" xfId="3" applyFont="1" applyFill="1" applyBorder="1" applyAlignment="1">
      <alignment horizontal="center" vertical="center" wrapText="1" readingOrder="1"/>
    </xf>
    <xf numFmtId="9" fontId="21" fillId="0" borderId="15" xfId="3" applyFont="1" applyFill="1" applyBorder="1" applyAlignment="1">
      <alignment horizontal="center" vertical="center" wrapText="1" readingOrder="1"/>
    </xf>
    <xf numFmtId="9" fontId="21" fillId="0" borderId="43" xfId="3" applyFont="1" applyFill="1" applyBorder="1" applyAlignment="1">
      <alignment horizontal="center" vertical="center" wrapText="1" readingOrder="1"/>
    </xf>
    <xf numFmtId="1" fontId="46" fillId="4" borderId="44" xfId="4" applyNumberFormat="1" applyFont="1" applyFill="1" applyBorder="1" applyAlignment="1">
      <alignment horizontal="center" vertical="center" wrapText="1"/>
    </xf>
    <xf numFmtId="1" fontId="46" fillId="4" borderId="45" xfId="4" applyNumberFormat="1" applyFont="1" applyFill="1" applyBorder="1" applyAlignment="1">
      <alignment horizontal="center" vertical="center" wrapText="1"/>
    </xf>
    <xf numFmtId="1" fontId="46" fillId="4" borderId="46" xfId="4" applyNumberFormat="1" applyFont="1" applyFill="1" applyBorder="1" applyAlignment="1">
      <alignment horizontal="center" vertical="center" wrapText="1"/>
    </xf>
    <xf numFmtId="2" fontId="46" fillId="4" borderId="27" xfId="4" applyNumberFormat="1" applyFont="1" applyFill="1" applyBorder="1" applyAlignment="1">
      <alignment horizontal="right" vertical="center" wrapText="1"/>
    </xf>
    <xf numFmtId="171" fontId="46" fillId="4" borderId="27" xfId="2" applyNumberFormat="1" applyFont="1" applyFill="1" applyBorder="1" applyAlignment="1">
      <alignment horizontal="center" vertical="center" wrapText="1"/>
    </xf>
    <xf numFmtId="9" fontId="47" fillId="4" borderId="27" xfId="3" applyFont="1" applyFill="1" applyBorder="1" applyAlignment="1">
      <alignment horizontal="center" vertical="center" wrapText="1"/>
    </xf>
    <xf numFmtId="9" fontId="46" fillId="4" borderId="27" xfId="3" applyFont="1" applyFill="1" applyBorder="1" applyAlignment="1">
      <alignment horizontal="center" vertical="center" wrapText="1"/>
    </xf>
    <xf numFmtId="9" fontId="46" fillId="4" borderId="28" xfId="3" applyFont="1" applyFill="1" applyBorder="1" applyAlignment="1">
      <alignment horizontal="center" vertical="center" wrapText="1"/>
    </xf>
    <xf numFmtId="0" fontId="48" fillId="0" borderId="0" xfId="4" applyFont="1" applyAlignment="1">
      <alignment horizontal="center" vertical="center" wrapText="1"/>
    </xf>
    <xf numFmtId="0" fontId="48" fillId="0" borderId="6" xfId="4" applyFont="1" applyBorder="1" applyAlignment="1">
      <alignment horizontal="center" vertical="center" wrapText="1"/>
    </xf>
    <xf numFmtId="1" fontId="42" fillId="0" borderId="0" xfId="4" applyNumberFormat="1" applyFont="1" applyAlignment="1">
      <alignment horizontal="center" vertical="center" wrapText="1"/>
    </xf>
    <xf numFmtId="2" fontId="42" fillId="0" borderId="0" xfId="4" applyNumberFormat="1" applyFont="1" applyAlignment="1">
      <alignment horizontal="left" vertical="center" wrapText="1"/>
    </xf>
    <xf numFmtId="41" fontId="43" fillId="0" borderId="0" xfId="2" applyFont="1" applyFill="1" applyBorder="1" applyAlignment="1">
      <alignment horizontal="center" vertical="center" wrapText="1"/>
    </xf>
    <xf numFmtId="41" fontId="21" fillId="0" borderId="0" xfId="2" applyFont="1" applyFill="1" applyBorder="1" applyAlignment="1">
      <alignment horizontal="center" vertical="center" wrapText="1" readingOrder="1"/>
    </xf>
    <xf numFmtId="2" fontId="41" fillId="14" borderId="47" xfId="4" applyNumberFormat="1" applyFont="1" applyFill="1" applyBorder="1" applyAlignment="1">
      <alignment horizontal="center" vertical="center" wrapText="1"/>
    </xf>
    <xf numFmtId="2" fontId="41" fillId="14" borderId="48" xfId="4" applyNumberFormat="1" applyFont="1" applyFill="1" applyBorder="1" applyAlignment="1">
      <alignment horizontal="center" vertical="center" wrapText="1"/>
    </xf>
    <xf numFmtId="2" fontId="41" fillId="14" borderId="49" xfId="4" applyNumberFormat="1" applyFont="1" applyFill="1" applyBorder="1" applyAlignment="1">
      <alignment horizontal="center" vertical="center" wrapText="1"/>
    </xf>
    <xf numFmtId="2" fontId="49" fillId="15" borderId="50" xfId="4" applyNumberFormat="1" applyFont="1" applyFill="1" applyBorder="1" applyAlignment="1">
      <alignment horizontal="center" vertical="center" wrapText="1"/>
    </xf>
    <xf numFmtId="2" fontId="42" fillId="15" borderId="22" xfId="4" applyNumberFormat="1" applyFont="1" applyFill="1" applyBorder="1" applyAlignment="1">
      <alignment horizontal="center" vertical="center" wrapText="1"/>
    </xf>
    <xf numFmtId="2" fontId="43" fillId="15" borderId="22" xfId="4" applyNumberFormat="1" applyFont="1" applyFill="1" applyBorder="1" applyAlignment="1">
      <alignment horizontal="center" vertical="center" wrapText="1"/>
    </xf>
    <xf numFmtId="2" fontId="42" fillId="15" borderId="18" xfId="4" applyNumberFormat="1" applyFont="1" applyFill="1" applyBorder="1" applyAlignment="1">
      <alignment horizontal="center" vertical="center" wrapText="1"/>
    </xf>
    <xf numFmtId="2" fontId="42" fillId="0" borderId="17" xfId="4" applyNumberFormat="1" applyFont="1" applyBorder="1" applyAlignment="1">
      <alignment horizontal="left" vertical="center" wrapText="1"/>
    </xf>
    <xf numFmtId="2" fontId="42" fillId="13" borderId="17" xfId="4" applyNumberFormat="1" applyFont="1" applyFill="1" applyBorder="1" applyAlignment="1">
      <alignment horizontal="right" vertical="center" wrapText="1"/>
    </xf>
    <xf numFmtId="171" fontId="42" fillId="13" borderId="22" xfId="2" applyNumberFormat="1" applyFont="1" applyFill="1" applyBorder="1" applyAlignment="1">
      <alignment horizontal="center" vertical="center" wrapText="1"/>
    </xf>
    <xf numFmtId="9" fontId="43" fillId="13" borderId="22" xfId="3" applyFont="1" applyFill="1" applyBorder="1" applyAlignment="1">
      <alignment horizontal="center" vertical="center" wrapText="1"/>
    </xf>
    <xf numFmtId="9" fontId="42" fillId="13" borderId="22" xfId="3" applyFont="1" applyFill="1" applyBorder="1" applyAlignment="1">
      <alignment horizontal="center" vertical="center" wrapText="1"/>
    </xf>
    <xf numFmtId="9" fontId="42" fillId="13" borderId="18" xfId="3" applyFont="1" applyFill="1" applyBorder="1" applyAlignment="1">
      <alignment horizontal="center" vertical="center" wrapText="1"/>
    </xf>
    <xf numFmtId="0" fontId="46" fillId="4" borderId="29" xfId="4" applyFont="1" applyFill="1" applyBorder="1" applyAlignment="1">
      <alignment horizontal="right" vertical="center" wrapText="1"/>
    </xf>
    <xf numFmtId="10" fontId="47" fillId="4" borderId="27" xfId="3" applyNumberFormat="1" applyFont="1" applyFill="1" applyBorder="1" applyAlignment="1">
      <alignment horizontal="center" vertical="center" wrapText="1"/>
    </xf>
    <xf numFmtId="10" fontId="46" fillId="4" borderId="27" xfId="3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4" applyFont="1" applyAlignment="1">
      <alignment horizontal="left" vertical="center" wrapText="1"/>
    </xf>
    <xf numFmtId="41" fontId="43" fillId="2" borderId="0" xfId="2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/>
    </xf>
    <xf numFmtId="0" fontId="44" fillId="0" borderId="0" xfId="4" applyFont="1" applyAlignment="1">
      <alignment horizontal="center" vertical="center" wrapText="1"/>
    </xf>
    <xf numFmtId="41" fontId="21" fillId="0" borderId="0" xfId="4" applyNumberFormat="1" applyFont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1" fillId="2" borderId="0" xfId="4" applyFont="1" applyFill="1" applyAlignment="1">
      <alignment horizontal="center" vertical="center" wrapText="1"/>
    </xf>
    <xf numFmtId="3" fontId="21" fillId="2" borderId="0" xfId="4" applyNumberFormat="1" applyFont="1" applyFill="1" applyAlignment="1">
      <alignment horizontal="center" vertical="center" wrapText="1"/>
    </xf>
    <xf numFmtId="3" fontId="21" fillId="2" borderId="0" xfId="1" applyNumberFormat="1" applyFont="1" applyFill="1" applyBorder="1" applyAlignment="1">
      <alignment horizontal="center" vertical="center" wrapText="1"/>
    </xf>
    <xf numFmtId="0" fontId="51" fillId="0" borderId="0" xfId="4" applyFont="1" applyAlignment="1">
      <alignment horizontal="center" vertical="center" wrapText="1"/>
    </xf>
    <xf numFmtId="175" fontId="21" fillId="2" borderId="0" xfId="4" applyNumberFormat="1" applyFont="1" applyFill="1" applyAlignment="1">
      <alignment horizontal="center" vertical="center" wrapText="1"/>
    </xf>
    <xf numFmtId="175" fontId="44" fillId="2" borderId="0" xfId="4" applyNumberFormat="1" applyFont="1" applyFill="1" applyAlignment="1">
      <alignment horizontal="center" vertical="center" wrapText="1"/>
    </xf>
    <xf numFmtId="43" fontId="21" fillId="2" borderId="0" xfId="1" applyFont="1" applyFill="1" applyAlignment="1">
      <alignment horizontal="center" vertical="center" wrapText="1"/>
    </xf>
    <xf numFmtId="175" fontId="21" fillId="0" borderId="0" xfId="4" applyNumberFormat="1" applyFont="1" applyAlignment="1">
      <alignment horizontal="center" vertical="center" wrapText="1"/>
    </xf>
    <xf numFmtId="3" fontId="21" fillId="2" borderId="0" xfId="4" applyNumberFormat="1" applyFont="1" applyFill="1" applyAlignment="1">
      <alignment horizontal="center" vertical="center" wrapText="1"/>
    </xf>
    <xf numFmtId="3" fontId="21" fillId="2" borderId="0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44" fillId="2" borderId="0" xfId="4" applyFont="1" applyFill="1" applyAlignment="1">
      <alignment horizontal="center" vertical="center" wrapText="1"/>
    </xf>
    <xf numFmtId="41" fontId="42" fillId="2" borderId="0" xfId="2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1" fontId="21" fillId="2" borderId="0" xfId="2" applyFont="1" applyFill="1" applyAlignment="1">
      <alignment horizontal="center" vertical="center" wrapText="1"/>
    </xf>
  </cellXfs>
  <cellStyles count="9">
    <cellStyle name="Millares" xfId="1" builtinId="3"/>
    <cellStyle name="Millares [0]" xfId="2" builtinId="6"/>
    <cellStyle name="Moneda [0]" xfId="7" builtinId="7"/>
    <cellStyle name="Nivel 1,2.3,5,6,9" xfId="5" xr:uid="{E2FF807B-3579-4134-927C-5D13590686E7}"/>
    <cellStyle name="Nivel 4" xfId="6" xr:uid="{96D0EA58-4B06-426E-9B41-96FFA279CF19}"/>
    <cellStyle name="Nivel 7" xfId="8" xr:uid="{875B85BA-F677-4E0E-B753-6034CEE10255}"/>
    <cellStyle name="Normal" xfId="0" builtinId="0"/>
    <cellStyle name="Normal 2" xfId="4" xr:uid="{9284C08C-BE64-4B9B-9590-197A0000A917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198792</xdr:colOff>
      <xdr:row>0</xdr:row>
      <xdr:rowOff>0</xdr:rowOff>
    </xdr:from>
    <xdr:to>
      <xdr:col>3</xdr:col>
      <xdr:colOff>428625</xdr:colOff>
      <xdr:row>2</xdr:row>
      <xdr:rowOff>237406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0BB913-2388-4A91-8159-377C7C272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92" y="0"/>
          <a:ext cx="1544283" cy="732706"/>
        </a:xfrm>
        <a:prstGeom prst="rect">
          <a:avLst/>
        </a:prstGeom>
      </xdr:spPr>
    </xdr:pic>
    <xdr:clientData/>
  </xdr:twoCellAnchor>
  <xdr:twoCellAnchor editAs="oneCell">
    <xdr:from>
      <xdr:col>13</xdr:col>
      <xdr:colOff>1276350</xdr:colOff>
      <xdr:row>0</xdr:row>
      <xdr:rowOff>49530</xdr:rowOff>
    </xdr:from>
    <xdr:to>
      <xdr:col>14</xdr:col>
      <xdr:colOff>400189</xdr:colOff>
      <xdr:row>3</xdr:row>
      <xdr:rowOff>112423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CA0ABF-0C08-454C-9E53-B8EAF12E1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49530"/>
          <a:ext cx="733564" cy="805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563403</xdr:colOff>
      <xdr:row>0</xdr:row>
      <xdr:rowOff>95256</xdr:rowOff>
    </xdr:from>
    <xdr:to>
      <xdr:col>7</xdr:col>
      <xdr:colOff>3751897</xdr:colOff>
      <xdr:row>4</xdr:row>
      <xdr:rowOff>130604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77D1E-5015-4EFC-8BE8-E70E852A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203" y="95256"/>
          <a:ext cx="3196114" cy="1216448"/>
        </a:xfrm>
        <a:prstGeom prst="rect">
          <a:avLst/>
        </a:prstGeom>
      </xdr:spPr>
    </xdr:pic>
    <xdr:clientData/>
  </xdr:twoCellAnchor>
  <xdr:twoCellAnchor editAs="oneCell">
    <xdr:from>
      <xdr:col>10</xdr:col>
      <xdr:colOff>1288447</xdr:colOff>
      <xdr:row>0</xdr:row>
      <xdr:rowOff>0</xdr:rowOff>
    </xdr:from>
    <xdr:to>
      <xdr:col>11</xdr:col>
      <xdr:colOff>872690</xdr:colOff>
      <xdr:row>5</xdr:row>
      <xdr:rowOff>36122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11A3BD-0903-4356-BEF8-6313619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5997" y="0"/>
          <a:ext cx="1098718" cy="142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201058</xdr:colOff>
      <xdr:row>13</xdr:row>
      <xdr:rowOff>59213</xdr:rowOff>
    </xdr:from>
    <xdr:to>
      <xdr:col>7</xdr:col>
      <xdr:colOff>817451</xdr:colOff>
      <xdr:row>13</xdr:row>
      <xdr:rowOff>246618</xdr:rowOff>
    </xdr:to>
    <xdr:sp macro="" textlink="">
      <xdr:nvSpPr>
        <xdr:cNvPr id="14" name="Conector 1">
          <a:extLst>
            <a:ext uri="{FF2B5EF4-FFF2-40B4-BE49-F238E27FC236}">
              <a16:creationId xmlns:a16="http://schemas.microsoft.com/office/drawing/2014/main" id="{1301B0A4-3805-40D8-A81F-B5534DCDDBA0}"/>
            </a:ext>
          </a:extLst>
        </xdr:cNvPr>
        <xdr:cNvSpPr/>
      </xdr:nvSpPr>
      <xdr:spPr>
        <a:xfrm>
          <a:off x="11059558" y="3526313"/>
          <a:ext cx="616393" cy="18740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199782</xdr:colOff>
      <xdr:row>13</xdr:row>
      <xdr:rowOff>59611</xdr:rowOff>
    </xdr:from>
    <xdr:to>
      <xdr:col>8</xdr:col>
      <xdr:colOff>831415</xdr:colOff>
      <xdr:row>13</xdr:row>
      <xdr:rowOff>241617</xdr:rowOff>
    </xdr:to>
    <xdr:sp macro="" textlink="">
      <xdr:nvSpPr>
        <xdr:cNvPr id="15" name="Conector 1">
          <a:extLst>
            <a:ext uri="{FF2B5EF4-FFF2-40B4-BE49-F238E27FC236}">
              <a16:creationId xmlns:a16="http://schemas.microsoft.com/office/drawing/2014/main" id="{FE9676A7-7998-42E5-8F1B-5DFF596A0D6E}"/>
            </a:ext>
          </a:extLst>
        </xdr:cNvPr>
        <xdr:cNvSpPr/>
      </xdr:nvSpPr>
      <xdr:spPr>
        <a:xfrm>
          <a:off x="12153657" y="3526711"/>
          <a:ext cx="631633" cy="182006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239575</xdr:colOff>
      <xdr:row>15</xdr:row>
      <xdr:rowOff>1359</xdr:rowOff>
    </xdr:from>
    <xdr:to>
      <xdr:col>7</xdr:col>
      <xdr:colOff>859778</xdr:colOff>
      <xdr:row>16</xdr:row>
      <xdr:rowOff>11281</xdr:rowOff>
    </xdr:to>
    <xdr:sp macro="" textlink="">
      <xdr:nvSpPr>
        <xdr:cNvPr id="16" name="Conector 1">
          <a:extLst>
            <a:ext uri="{FF2B5EF4-FFF2-40B4-BE49-F238E27FC236}">
              <a16:creationId xmlns:a16="http://schemas.microsoft.com/office/drawing/2014/main" id="{A55BE574-6C5A-4C13-BEC4-A1E2480007D3}"/>
            </a:ext>
          </a:extLst>
        </xdr:cNvPr>
        <xdr:cNvSpPr/>
      </xdr:nvSpPr>
      <xdr:spPr>
        <a:xfrm>
          <a:off x="12909730" y="5916384"/>
          <a:ext cx="614488" cy="33567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238824</xdr:colOff>
      <xdr:row>15</xdr:row>
      <xdr:rowOff>13187</xdr:rowOff>
    </xdr:from>
    <xdr:to>
      <xdr:col>8</xdr:col>
      <xdr:colOff>870457</xdr:colOff>
      <xdr:row>16</xdr:row>
      <xdr:rowOff>2709</xdr:rowOff>
    </xdr:to>
    <xdr:sp macro="" textlink="">
      <xdr:nvSpPr>
        <xdr:cNvPr id="17" name="Conector 1">
          <a:extLst>
            <a:ext uri="{FF2B5EF4-FFF2-40B4-BE49-F238E27FC236}">
              <a16:creationId xmlns:a16="http://schemas.microsoft.com/office/drawing/2014/main" id="{5CD10728-91A4-42B5-9F80-6AEB5FFE2BDE}"/>
            </a:ext>
          </a:extLst>
        </xdr:cNvPr>
        <xdr:cNvSpPr/>
      </xdr:nvSpPr>
      <xdr:spPr>
        <a:xfrm>
          <a:off x="12192699" y="3956537"/>
          <a:ext cx="631633" cy="20859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hanna.guevara\Downloads\SEGUIMIENTO%20PRESUPUESTAL%20AGENCIA%20OCTUBRE.xlsx" TargetMode="External"/><Relationship Id="rId1" Type="http://schemas.openxmlformats.org/officeDocument/2006/relationships/externalLinkPath" Target="https://defensajuridica.sharepoint.com/Users/jhohanna.guevara/Downloads/SEGUIMIENTO%20PRESUPUESTAL%20AGENCIA%20OCTUB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hanna.guevara\Downloads\SEGUIMIENTO%20PRESUPUESTAL%20AGENCIA%20%20GF-F-17_FEB.xlsx" TargetMode="External"/><Relationship Id="rId1" Type="http://schemas.openxmlformats.org/officeDocument/2006/relationships/externalLinkPath" Target="SEGUIMIENTO%20PRESUPUESTAL%20AGENCIA%20%20GF-F-17_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Seguimiento aprop. disponible"/>
      <sheetName val="INF SECRETARÍA GRAL  (3)"/>
      <sheetName val="Hoja1"/>
    </sheetNames>
    <sheetDataSet>
      <sheetData sheetId="0">
        <row r="97">
          <cell r="H97" t="str">
            <v>GASTOS POR TRIBUTOS, MULTAS, SANCIONES E INTERESES DE MORA</v>
          </cell>
        </row>
        <row r="99">
          <cell r="H99" t="str">
            <v>CUOTA DE FISCALIZACIÓN Y AUDITAJE</v>
          </cell>
        </row>
        <row r="126">
          <cell r="A126" t="str">
            <v>Fuente: SIIF-NACIÓN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Seguimiento aprop. disponible"/>
      <sheetName val="INF SECRETARÍA GRAL  (3)"/>
      <sheetName val="Hoja1"/>
    </sheetNames>
    <sheetDataSet>
      <sheetData sheetId="0"/>
      <sheetData sheetId="1"/>
      <sheetData sheetId="2"/>
      <sheetData sheetId="3">
        <row r="9">
          <cell r="T9">
            <v>2181124000</v>
          </cell>
          <cell r="W9">
            <v>0</v>
          </cell>
          <cell r="X9">
            <v>2065741685</v>
          </cell>
          <cell r="Y9">
            <v>108485283.15000001</v>
          </cell>
          <cell r="AA9">
            <v>108485283.15000001</v>
          </cell>
          <cell r="AB9">
            <v>115382315</v>
          </cell>
        </row>
        <row r="12">
          <cell r="T12">
            <v>309000000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309000000</v>
          </cell>
        </row>
      </sheetData>
      <sheetData sheetId="4">
        <row r="5">
          <cell r="T5">
            <v>27261618200</v>
          </cell>
          <cell r="W5">
            <v>0</v>
          </cell>
          <cell r="X5">
            <v>4470651088</v>
          </cell>
          <cell r="Y5">
            <v>4470651088</v>
          </cell>
          <cell r="AA5">
            <v>4470651088</v>
          </cell>
          <cell r="AB5">
            <v>22790967112</v>
          </cell>
        </row>
        <row r="6">
          <cell r="T6">
            <v>6587557100</v>
          </cell>
          <cell r="W6">
            <v>0</v>
          </cell>
          <cell r="X6">
            <v>1089512139</v>
          </cell>
          <cell r="Y6">
            <v>1089512139</v>
          </cell>
          <cell r="AA6">
            <v>1089512139</v>
          </cell>
          <cell r="AB6">
            <v>5498044961</v>
          </cell>
        </row>
        <row r="7">
          <cell r="T7">
            <v>2047729700</v>
          </cell>
          <cell r="W7">
            <v>0</v>
          </cell>
          <cell r="X7">
            <v>11496903</v>
          </cell>
          <cell r="Y7">
            <v>10418072</v>
          </cell>
          <cell r="AA7">
            <v>10418072</v>
          </cell>
          <cell r="AB7">
            <v>2036232797</v>
          </cell>
        </row>
        <row r="8">
          <cell r="T8">
            <v>1383785700</v>
          </cell>
          <cell r="W8">
            <v>0</v>
          </cell>
          <cell r="X8">
            <v>253259387</v>
          </cell>
          <cell r="Y8">
            <v>252181123</v>
          </cell>
          <cell r="AA8">
            <v>252181123</v>
          </cell>
          <cell r="AB8">
            <v>1130526313</v>
          </cell>
        </row>
        <row r="9">
          <cell r="T9">
            <v>3681426800</v>
          </cell>
          <cell r="W9">
            <v>0</v>
          </cell>
          <cell r="X9">
            <v>5903448</v>
          </cell>
          <cell r="Y9">
            <v>5903448</v>
          </cell>
          <cell r="AA9">
            <v>5903448</v>
          </cell>
          <cell r="AB9">
            <v>3675523352</v>
          </cell>
        </row>
        <row r="10">
          <cell r="T10">
            <v>1843446500</v>
          </cell>
          <cell r="W10">
            <v>0</v>
          </cell>
          <cell r="X10">
            <v>117619855</v>
          </cell>
          <cell r="Y10">
            <v>102444513</v>
          </cell>
          <cell r="AA10">
            <v>102444513</v>
          </cell>
          <cell r="AB10">
            <v>1725826645</v>
          </cell>
        </row>
        <row r="11">
          <cell r="T11">
            <v>4671808100</v>
          </cell>
          <cell r="W11">
            <v>0</v>
          </cell>
          <cell r="X11">
            <v>741768804</v>
          </cell>
          <cell r="Y11">
            <v>741768804</v>
          </cell>
          <cell r="AA11">
            <v>741768804</v>
          </cell>
          <cell r="AB11">
            <v>3930039296</v>
          </cell>
        </row>
        <row r="12">
          <cell r="T12">
            <v>3254375400</v>
          </cell>
          <cell r="W12">
            <v>0</v>
          </cell>
          <cell r="X12">
            <v>524763397</v>
          </cell>
          <cell r="Y12">
            <v>524763397</v>
          </cell>
          <cell r="AA12">
            <v>524763397</v>
          </cell>
          <cell r="AB12">
            <v>2729612003</v>
          </cell>
        </row>
        <row r="13">
          <cell r="T13">
            <v>3756560100</v>
          </cell>
          <cell r="W13">
            <v>0</v>
          </cell>
          <cell r="X13">
            <v>561772010</v>
          </cell>
          <cell r="Y13">
            <v>302701463</v>
          </cell>
          <cell r="AA13">
            <v>302701463</v>
          </cell>
          <cell r="AB13">
            <v>3194788090</v>
          </cell>
        </row>
        <row r="14">
          <cell r="T14">
            <v>1348581200</v>
          </cell>
          <cell r="W14">
            <v>0</v>
          </cell>
          <cell r="X14">
            <v>236498500</v>
          </cell>
          <cell r="Y14">
            <v>236498500</v>
          </cell>
          <cell r="AA14">
            <v>236498500</v>
          </cell>
          <cell r="AB14">
            <v>1112082700</v>
          </cell>
        </row>
        <row r="15">
          <cell r="T15">
            <v>252958200</v>
          </cell>
          <cell r="W15">
            <v>0</v>
          </cell>
          <cell r="X15">
            <v>14334000</v>
          </cell>
          <cell r="Y15">
            <v>14334000</v>
          </cell>
          <cell r="AA15">
            <v>14315600</v>
          </cell>
          <cell r="AB15">
            <v>238624200</v>
          </cell>
        </row>
        <row r="16">
          <cell r="T16">
            <v>964028900</v>
          </cell>
          <cell r="W16">
            <v>0</v>
          </cell>
          <cell r="X16">
            <v>177380900</v>
          </cell>
          <cell r="Y16">
            <v>177380900</v>
          </cell>
          <cell r="AA16">
            <v>177380900</v>
          </cell>
          <cell r="AB16">
            <v>786648000</v>
          </cell>
        </row>
        <row r="17">
          <cell r="T17">
            <v>646302100</v>
          </cell>
          <cell r="W17">
            <v>0</v>
          </cell>
          <cell r="X17">
            <v>118265700</v>
          </cell>
          <cell r="Y17">
            <v>118265700</v>
          </cell>
          <cell r="AA17">
            <v>118265700</v>
          </cell>
          <cell r="AB17">
            <v>528036400</v>
          </cell>
        </row>
        <row r="18">
          <cell r="T18">
            <v>2538271900</v>
          </cell>
          <cell r="W18">
            <v>0</v>
          </cell>
          <cell r="X18">
            <v>126023291</v>
          </cell>
          <cell r="Y18">
            <v>108067858</v>
          </cell>
          <cell r="AA18">
            <v>108067858</v>
          </cell>
          <cell r="AB18">
            <v>2412248609</v>
          </cell>
        </row>
        <row r="19">
          <cell r="T19">
            <v>475217900</v>
          </cell>
          <cell r="W19">
            <v>0</v>
          </cell>
          <cell r="X19">
            <v>31179051</v>
          </cell>
          <cell r="Y19">
            <v>31179051</v>
          </cell>
          <cell r="AA19">
            <v>31179051</v>
          </cell>
          <cell r="AB19">
            <v>444038849</v>
          </cell>
        </row>
        <row r="20">
          <cell r="T20">
            <v>262339700</v>
          </cell>
          <cell r="W20">
            <v>0</v>
          </cell>
          <cell r="X20">
            <v>14660559</v>
          </cell>
          <cell r="Y20">
            <v>12897537</v>
          </cell>
          <cell r="AA20">
            <v>12897537</v>
          </cell>
          <cell r="AB20">
            <v>247679141</v>
          </cell>
        </row>
        <row r="21">
          <cell r="T21">
            <v>943648900</v>
          </cell>
          <cell r="W21">
            <v>0</v>
          </cell>
          <cell r="X21">
            <v>161984762</v>
          </cell>
          <cell r="Y21">
            <v>161984762</v>
          </cell>
          <cell r="AA21">
            <v>161984762</v>
          </cell>
          <cell r="AB21">
            <v>781664138</v>
          </cell>
        </row>
        <row r="22">
          <cell r="T22">
            <v>210000000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210000000</v>
          </cell>
        </row>
        <row r="23">
          <cell r="T23">
            <v>207336500</v>
          </cell>
          <cell r="W23">
            <v>0</v>
          </cell>
          <cell r="X23">
            <v>24773518</v>
          </cell>
          <cell r="Y23">
            <v>24773518</v>
          </cell>
          <cell r="AA23">
            <v>24773518</v>
          </cell>
          <cell r="AB23">
            <v>182562982</v>
          </cell>
        </row>
        <row r="24">
          <cell r="T24">
            <v>136883100</v>
          </cell>
          <cell r="W24">
            <v>0</v>
          </cell>
          <cell r="X24">
            <v>0</v>
          </cell>
          <cell r="Y24">
            <v>0</v>
          </cell>
          <cell r="AA24">
            <v>0</v>
          </cell>
          <cell r="AB24">
            <v>136883100</v>
          </cell>
        </row>
        <row r="25">
          <cell r="T25">
            <v>5000000</v>
          </cell>
          <cell r="W25">
            <v>0</v>
          </cell>
          <cell r="X25">
            <v>1000000</v>
          </cell>
          <cell r="Y25">
            <v>1000000</v>
          </cell>
          <cell r="AA25">
            <v>1000000</v>
          </cell>
          <cell r="AB25">
            <v>4000000</v>
          </cell>
        </row>
        <row r="26">
          <cell r="T26">
            <v>7859273</v>
          </cell>
          <cell r="W26">
            <v>0</v>
          </cell>
          <cell r="X26">
            <v>2416017.39</v>
          </cell>
          <cell r="Y26">
            <v>0</v>
          </cell>
          <cell r="AA26">
            <v>0</v>
          </cell>
          <cell r="AB26">
            <v>5443255.6100000003</v>
          </cell>
        </row>
        <row r="27">
          <cell r="T27">
            <v>802204</v>
          </cell>
          <cell r="W27">
            <v>0</v>
          </cell>
          <cell r="X27">
            <v>205713.3</v>
          </cell>
          <cell r="Y27">
            <v>0</v>
          </cell>
          <cell r="AA27">
            <v>0</v>
          </cell>
          <cell r="AB27">
            <v>596490.69999999995</v>
          </cell>
        </row>
        <row r="28">
          <cell r="T28">
            <v>91952019</v>
          </cell>
          <cell r="W28">
            <v>1000000</v>
          </cell>
          <cell r="X28">
            <v>27612044.359999999</v>
          </cell>
          <cell r="Y28">
            <v>0</v>
          </cell>
          <cell r="AA28">
            <v>0</v>
          </cell>
          <cell r="AB28">
            <v>63339974.640000001</v>
          </cell>
        </row>
        <row r="29">
          <cell r="T29">
            <v>500000</v>
          </cell>
          <cell r="W29">
            <v>0</v>
          </cell>
          <cell r="X29">
            <v>500000</v>
          </cell>
          <cell r="Y29">
            <v>500000</v>
          </cell>
          <cell r="AA29">
            <v>500000</v>
          </cell>
          <cell r="AB29">
            <v>0</v>
          </cell>
        </row>
        <row r="30">
          <cell r="T30">
            <v>576359</v>
          </cell>
          <cell r="W30">
            <v>0</v>
          </cell>
          <cell r="X30">
            <v>159352.67000000001</v>
          </cell>
          <cell r="Y30">
            <v>0</v>
          </cell>
          <cell r="AA30">
            <v>0</v>
          </cell>
          <cell r="AB30">
            <v>417006.33</v>
          </cell>
        </row>
        <row r="31">
          <cell r="T31">
            <v>11209179</v>
          </cell>
          <cell r="W31">
            <v>400000</v>
          </cell>
          <cell r="X31">
            <v>3367499.56</v>
          </cell>
          <cell r="Y31">
            <v>0</v>
          </cell>
          <cell r="AA31">
            <v>0</v>
          </cell>
          <cell r="AB31">
            <v>7441679.4400000004</v>
          </cell>
        </row>
        <row r="32">
          <cell r="T32">
            <v>30976536</v>
          </cell>
          <cell r="W32">
            <v>7339034</v>
          </cell>
          <cell r="X32">
            <v>5317356.0999999996</v>
          </cell>
          <cell r="Y32">
            <v>0</v>
          </cell>
          <cell r="AA32">
            <v>0</v>
          </cell>
          <cell r="AB32">
            <v>18320145.899999999</v>
          </cell>
        </row>
        <row r="33">
          <cell r="T33">
            <v>37447767</v>
          </cell>
          <cell r="W33">
            <v>35565293</v>
          </cell>
          <cell r="X33">
            <v>523562.45</v>
          </cell>
          <cell r="Y33">
            <v>0</v>
          </cell>
          <cell r="AA33">
            <v>0</v>
          </cell>
          <cell r="AB33">
            <v>1358911.55</v>
          </cell>
        </row>
        <row r="34">
          <cell r="T34">
            <v>8639</v>
          </cell>
          <cell r="W34">
            <v>0</v>
          </cell>
          <cell r="X34">
            <v>0</v>
          </cell>
          <cell r="Y34">
            <v>0</v>
          </cell>
          <cell r="AA34">
            <v>0</v>
          </cell>
          <cell r="AB34">
            <v>8639</v>
          </cell>
        </row>
        <row r="35">
          <cell r="T35">
            <v>840189701</v>
          </cell>
          <cell r="W35">
            <v>840000000</v>
          </cell>
          <cell r="X35">
            <v>0</v>
          </cell>
          <cell r="Y35">
            <v>0</v>
          </cell>
          <cell r="AA35">
            <v>0</v>
          </cell>
          <cell r="AB35">
            <v>189701</v>
          </cell>
        </row>
        <row r="36">
          <cell r="T36">
            <v>1947301829</v>
          </cell>
          <cell r="W36">
            <v>1303602234</v>
          </cell>
          <cell r="X36">
            <v>300000</v>
          </cell>
          <cell r="Y36">
            <v>300000</v>
          </cell>
          <cell r="AA36">
            <v>300000</v>
          </cell>
          <cell r="AB36">
            <v>643399595</v>
          </cell>
        </row>
        <row r="37">
          <cell r="T37">
            <v>8290239</v>
          </cell>
          <cell r="W37">
            <v>7592289</v>
          </cell>
          <cell r="X37">
            <v>0</v>
          </cell>
          <cell r="Y37">
            <v>0</v>
          </cell>
          <cell r="AA37">
            <v>0</v>
          </cell>
          <cell r="AB37">
            <v>697950</v>
          </cell>
        </row>
        <row r="38">
          <cell r="T38">
            <v>3000000</v>
          </cell>
          <cell r="W38">
            <v>3000000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</row>
        <row r="39">
          <cell r="T39">
            <v>51283597</v>
          </cell>
          <cell r="W39">
            <v>0</v>
          </cell>
          <cell r="X39">
            <v>15542198.77</v>
          </cell>
          <cell r="Y39">
            <v>0</v>
          </cell>
          <cell r="AA39">
            <v>0</v>
          </cell>
          <cell r="AB39">
            <v>35741398.229999997</v>
          </cell>
        </row>
        <row r="40">
          <cell r="T40">
            <v>1180083687</v>
          </cell>
          <cell r="W40">
            <v>313424089</v>
          </cell>
          <cell r="X40">
            <v>293254062.27999997</v>
          </cell>
          <cell r="Y40">
            <v>4857136</v>
          </cell>
          <cell r="AA40">
            <v>4857136</v>
          </cell>
          <cell r="AB40">
            <v>573405535.72000003</v>
          </cell>
        </row>
        <row r="41">
          <cell r="T41">
            <v>130328133</v>
          </cell>
          <cell r="W41">
            <v>0</v>
          </cell>
          <cell r="X41">
            <v>55458780</v>
          </cell>
          <cell r="Y41">
            <v>3737850</v>
          </cell>
          <cell r="AA41">
            <v>3737850</v>
          </cell>
          <cell r="AB41">
            <v>74869353</v>
          </cell>
        </row>
        <row r="42">
          <cell r="T42">
            <v>240000000</v>
          </cell>
          <cell r="W42">
            <v>0</v>
          </cell>
          <cell r="X42">
            <v>33582710</v>
          </cell>
          <cell r="Y42">
            <v>33582710</v>
          </cell>
          <cell r="AA42">
            <v>33582710</v>
          </cell>
          <cell r="AB42">
            <v>206417290</v>
          </cell>
        </row>
        <row r="43">
          <cell r="T43">
            <v>2200000</v>
          </cell>
          <cell r="W43">
            <v>200000</v>
          </cell>
          <cell r="X43">
            <v>200000</v>
          </cell>
          <cell r="Y43">
            <v>200000</v>
          </cell>
          <cell r="AA43">
            <v>200000</v>
          </cell>
          <cell r="AB43">
            <v>1800000</v>
          </cell>
        </row>
        <row r="44">
          <cell r="T44">
            <v>4549088000</v>
          </cell>
          <cell r="W44">
            <v>0</v>
          </cell>
          <cell r="X44">
            <v>2520000000</v>
          </cell>
          <cell r="Y44">
            <v>0</v>
          </cell>
          <cell r="AA44">
            <v>0</v>
          </cell>
          <cell r="AB44">
            <v>2029088000</v>
          </cell>
        </row>
        <row r="45">
          <cell r="T45">
            <v>170995835</v>
          </cell>
          <cell r="W45">
            <v>65820496</v>
          </cell>
          <cell r="X45">
            <v>69499203.879999995</v>
          </cell>
          <cell r="Y45">
            <v>11325361.779999999</v>
          </cell>
          <cell r="AA45">
            <v>11325361.779999999</v>
          </cell>
          <cell r="AB45">
            <v>35676135.119999997</v>
          </cell>
        </row>
        <row r="46">
          <cell r="T46">
            <v>127646176072</v>
          </cell>
          <cell r="W46">
            <v>9264743039</v>
          </cell>
          <cell r="X46">
            <v>88131726685.330002</v>
          </cell>
          <cell r="Y46">
            <v>157673299.53999999</v>
          </cell>
          <cell r="AA46">
            <v>157673299.53999999</v>
          </cell>
          <cell r="AB46">
            <v>30249706347.669998</v>
          </cell>
        </row>
        <row r="47">
          <cell r="T47">
            <v>24108499821</v>
          </cell>
          <cell r="W47">
            <v>13432864831</v>
          </cell>
          <cell r="X47">
            <v>6422544488.2299995</v>
          </cell>
          <cell r="Y47">
            <v>99946805.030000001</v>
          </cell>
          <cell r="AA47">
            <v>99946805.030000001</v>
          </cell>
          <cell r="AB47">
            <v>4253090501.77</v>
          </cell>
        </row>
        <row r="48">
          <cell r="T48">
            <v>777661639</v>
          </cell>
          <cell r="W48">
            <v>61741812</v>
          </cell>
          <cell r="X48">
            <v>297743407</v>
          </cell>
          <cell r="Y48">
            <v>12883935.130000001</v>
          </cell>
          <cell r="AA48">
            <v>12883935.130000001</v>
          </cell>
          <cell r="AB48">
            <v>418176420</v>
          </cell>
        </row>
        <row r="49">
          <cell r="T49">
            <v>7439106215</v>
          </cell>
          <cell r="W49">
            <v>4586678667.21</v>
          </cell>
          <cell r="X49">
            <v>1527286523.55</v>
          </cell>
          <cell r="Y49">
            <v>26152326.550000001</v>
          </cell>
          <cell r="AA49">
            <v>26152326.550000001</v>
          </cell>
          <cell r="AB49">
            <v>1325141024.24</v>
          </cell>
        </row>
        <row r="50">
          <cell r="T50">
            <v>2093850</v>
          </cell>
          <cell r="W50">
            <v>0</v>
          </cell>
          <cell r="X50">
            <v>0</v>
          </cell>
          <cell r="Y50">
            <v>0</v>
          </cell>
          <cell r="AA50">
            <v>0</v>
          </cell>
          <cell r="AB50">
            <v>2093850</v>
          </cell>
        </row>
        <row r="51">
          <cell r="T51">
            <v>42000000</v>
          </cell>
          <cell r="W51">
            <v>0</v>
          </cell>
          <cell r="X51">
            <v>39553500</v>
          </cell>
          <cell r="Y51">
            <v>700000</v>
          </cell>
          <cell r="AA51">
            <v>700000</v>
          </cell>
          <cell r="AB51">
            <v>2446500</v>
          </cell>
        </row>
        <row r="52">
          <cell r="T52">
            <v>130000000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130000000</v>
          </cell>
        </row>
        <row r="53">
          <cell r="T53">
            <v>31178811</v>
          </cell>
          <cell r="W53">
            <v>0</v>
          </cell>
          <cell r="X53">
            <v>4675323</v>
          </cell>
          <cell r="Y53">
            <v>1229100</v>
          </cell>
          <cell r="AA53">
            <v>1229100</v>
          </cell>
          <cell r="AB53">
            <v>26503488</v>
          </cell>
        </row>
        <row r="54">
          <cell r="T54">
            <v>2400000</v>
          </cell>
          <cell r="W54">
            <v>0</v>
          </cell>
          <cell r="X54">
            <v>179880</v>
          </cell>
          <cell r="Y54">
            <v>179880</v>
          </cell>
          <cell r="AA54">
            <v>179880</v>
          </cell>
          <cell r="AB54">
            <v>2220120</v>
          </cell>
        </row>
        <row r="55">
          <cell r="T55">
            <v>320000000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320000000</v>
          </cell>
        </row>
        <row r="56">
          <cell r="T56">
            <v>550000000</v>
          </cell>
          <cell r="W56">
            <v>0</v>
          </cell>
          <cell r="X56">
            <v>5423224</v>
          </cell>
          <cell r="Y56">
            <v>5423224</v>
          </cell>
          <cell r="AA56">
            <v>5423224</v>
          </cell>
          <cell r="AB56">
            <v>544576776</v>
          </cell>
        </row>
        <row r="57">
          <cell r="T57">
            <v>90000000</v>
          </cell>
          <cell r="W57">
            <v>0</v>
          </cell>
          <cell r="X57">
            <v>16805017</v>
          </cell>
          <cell r="Y57">
            <v>16805017</v>
          </cell>
          <cell r="AA57">
            <v>16805017</v>
          </cell>
          <cell r="AB57">
            <v>73194983</v>
          </cell>
        </row>
        <row r="58">
          <cell r="T58">
            <v>190000000</v>
          </cell>
          <cell r="W58">
            <v>0</v>
          </cell>
          <cell r="X58">
            <v>23823342</v>
          </cell>
          <cell r="Y58">
            <v>10779696</v>
          </cell>
          <cell r="AA58">
            <v>10779696</v>
          </cell>
          <cell r="AB58">
            <v>166176658</v>
          </cell>
        </row>
        <row r="59">
          <cell r="T59">
            <v>117000000</v>
          </cell>
          <cell r="W59">
            <v>117000000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</row>
        <row r="60">
          <cell r="T60">
            <v>3429600000</v>
          </cell>
          <cell r="W60">
            <v>286056000</v>
          </cell>
          <cell r="X60">
            <v>1019000000</v>
          </cell>
          <cell r="Y60">
            <v>0</v>
          </cell>
          <cell r="AA60">
            <v>0</v>
          </cell>
          <cell r="AB60">
            <v>2124544000</v>
          </cell>
        </row>
        <row r="61">
          <cell r="T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</row>
        <row r="62">
          <cell r="T62">
            <v>2529376410</v>
          </cell>
          <cell r="W62">
            <v>160411746</v>
          </cell>
          <cell r="X62">
            <v>993933280</v>
          </cell>
          <cell r="Y62">
            <v>0</v>
          </cell>
          <cell r="AA62">
            <v>0</v>
          </cell>
          <cell r="AB62">
            <v>1375031384</v>
          </cell>
        </row>
        <row r="63">
          <cell r="T63">
            <v>4267568590</v>
          </cell>
          <cell r="W63">
            <v>170000000</v>
          </cell>
          <cell r="X63">
            <v>0</v>
          </cell>
          <cell r="AB63">
            <v>4097568590</v>
          </cell>
        </row>
        <row r="64">
          <cell r="T64">
            <v>5070000000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5070000000</v>
          </cell>
        </row>
        <row r="65">
          <cell r="T65">
            <v>6969782000</v>
          </cell>
          <cell r="W65">
            <v>0</v>
          </cell>
          <cell r="X65">
            <v>0</v>
          </cell>
          <cell r="Y65">
            <v>0</v>
          </cell>
          <cell r="AA65">
            <v>0</v>
          </cell>
          <cell r="AB65">
            <v>6969782000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D170-6CEA-4A95-A86D-9D8E684907A2}">
  <dimension ref="A1:AY153"/>
  <sheetViews>
    <sheetView tabSelected="1" topLeftCell="A106" workbookViewId="0">
      <selection activeCell="A4" sqref="A4:Q4"/>
    </sheetView>
  </sheetViews>
  <sheetFormatPr baseColWidth="10" defaultColWidth="11.44140625" defaultRowHeight="10.8" x14ac:dyDescent="0.3"/>
  <cols>
    <col min="1" max="1" width="7" style="201" customWidth="1"/>
    <col min="2" max="2" width="6.44140625" style="201" customWidth="1"/>
    <col min="3" max="3" width="5.88671875" style="201" customWidth="1"/>
    <col min="4" max="4" width="6.6640625" style="201" customWidth="1"/>
    <col min="5" max="5" width="9.109375" style="201" bestFit="1" customWidth="1"/>
    <col min="6" max="6" width="5.33203125" style="201" customWidth="1"/>
    <col min="7" max="7" width="5.44140625" style="201" customWidth="1"/>
    <col min="8" max="8" width="55.6640625" style="419" customWidth="1"/>
    <col min="9" max="9" width="23.5546875" style="294" customWidth="1"/>
    <col min="10" max="10" width="23" style="294" customWidth="1"/>
    <col min="11" max="11" width="13.109375" style="437" customWidth="1"/>
    <col min="12" max="12" width="22.6640625" style="294" customWidth="1"/>
    <col min="13" max="13" width="22.109375" style="201" bestFit="1" customWidth="1"/>
    <col min="14" max="14" width="23.44140625" style="432" customWidth="1"/>
    <col min="15" max="15" width="12.5546875" style="432" customWidth="1"/>
    <col min="16" max="16" width="23.6640625" style="433" customWidth="1"/>
    <col min="17" max="17" width="8.109375" style="433" bestFit="1" customWidth="1"/>
    <col min="18" max="18" width="15.44140625" style="200" customWidth="1"/>
    <col min="19" max="19" width="15.6640625" style="201" customWidth="1"/>
    <col min="20" max="50" width="11.44140625" style="201"/>
    <col min="51" max="51" width="11.44140625" style="202"/>
    <col min="52" max="195" width="11.44140625" style="201"/>
    <col min="196" max="196" width="4.6640625" style="201" customWidth="1"/>
    <col min="197" max="197" width="4.88671875" style="201" customWidth="1"/>
    <col min="198" max="200" width="4.6640625" style="201" customWidth="1"/>
    <col min="201" max="201" width="4" style="201" bestFit="1" customWidth="1"/>
    <col min="202" max="202" width="44.5546875" style="201" customWidth="1"/>
    <col min="203" max="203" width="19.33203125" style="201" customWidth="1"/>
    <col min="204" max="204" width="23.88671875" style="201" customWidth="1"/>
    <col min="205" max="205" width="16.44140625" style="201" customWidth="1"/>
    <col min="206" max="206" width="15.6640625" style="201" bestFit="1" customWidth="1"/>
    <col min="207" max="207" width="53.44140625" style="201" customWidth="1"/>
    <col min="208" max="208" width="13.5546875" style="201" customWidth="1"/>
    <col min="209" max="209" width="42.5546875" style="201" customWidth="1"/>
    <col min="210" max="210" width="12.109375" style="201" customWidth="1"/>
    <col min="211" max="211" width="11.44140625" style="201"/>
    <col min="212" max="212" width="11.88671875" style="201" customWidth="1"/>
    <col min="213" max="16384" width="11.44140625" style="201"/>
  </cols>
  <sheetData>
    <row r="1" spans="1:51" ht="19.5" customHeight="1" x14ac:dyDescent="0.3">
      <c r="A1" s="199" t="s">
        <v>215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51" ht="19.5" customHeigh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51" ht="19.2" thickBot="1" x14ac:dyDescent="0.35">
      <c r="A3" s="199" t="s">
        <v>213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51" ht="24.6" thickBot="1" x14ac:dyDescent="0.35">
      <c r="A4" s="203" t="s">
        <v>302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5"/>
      <c r="R4" s="206"/>
    </row>
    <row r="5" spans="1:51" ht="15.75" customHeight="1" thickBot="1" x14ac:dyDescent="0.35">
      <c r="A5" s="207" t="s">
        <v>251</v>
      </c>
      <c r="B5" s="208"/>
      <c r="C5" s="208"/>
      <c r="D5" s="208"/>
      <c r="E5" s="208"/>
      <c r="F5" s="208"/>
      <c r="G5" s="208"/>
      <c r="H5" s="209"/>
      <c r="I5" s="210" t="s">
        <v>252</v>
      </c>
      <c r="J5" s="211" t="s">
        <v>253</v>
      </c>
      <c r="K5" s="212"/>
      <c r="L5" s="211" t="s">
        <v>254</v>
      </c>
      <c r="M5" s="211" t="s">
        <v>255</v>
      </c>
      <c r="N5" s="213" t="s">
        <v>256</v>
      </c>
      <c r="O5" s="213"/>
      <c r="P5" s="214" t="s">
        <v>257</v>
      </c>
      <c r="Q5" s="215"/>
      <c r="R5" s="206"/>
    </row>
    <row r="6" spans="1:51" ht="22.5" customHeight="1" x14ac:dyDescent="0.3">
      <c r="A6" s="216" t="s">
        <v>10</v>
      </c>
      <c r="B6" s="217" t="s">
        <v>11</v>
      </c>
      <c r="C6" s="217" t="s">
        <v>12</v>
      </c>
      <c r="D6" s="217" t="s">
        <v>13</v>
      </c>
      <c r="E6" s="217" t="s">
        <v>14</v>
      </c>
      <c r="F6" s="217" t="s">
        <v>15</v>
      </c>
      <c r="G6" s="217" t="s">
        <v>16</v>
      </c>
      <c r="H6" s="218" t="s">
        <v>21</v>
      </c>
      <c r="I6" s="218" t="s">
        <v>258</v>
      </c>
      <c r="J6" s="218" t="s">
        <v>259</v>
      </c>
      <c r="K6" s="219" t="s">
        <v>260</v>
      </c>
      <c r="L6" s="218" t="s">
        <v>261</v>
      </c>
      <c r="M6" s="218" t="s">
        <v>262</v>
      </c>
      <c r="N6" s="220" t="s">
        <v>220</v>
      </c>
      <c r="O6" s="220" t="s">
        <v>263</v>
      </c>
      <c r="P6" s="221" t="s">
        <v>32</v>
      </c>
      <c r="Q6" s="222" t="s">
        <v>264</v>
      </c>
      <c r="R6" s="206"/>
    </row>
    <row r="7" spans="1:51" ht="15.75" customHeight="1" thickBot="1" x14ac:dyDescent="0.35">
      <c r="A7" s="223"/>
      <c r="B7" s="224"/>
      <c r="C7" s="224"/>
      <c r="D7" s="224"/>
      <c r="E7" s="224"/>
      <c r="F7" s="224"/>
      <c r="G7" s="224"/>
      <c r="H7" s="225"/>
      <c r="I7" s="225"/>
      <c r="J7" s="225"/>
      <c r="K7" s="226"/>
      <c r="L7" s="225"/>
      <c r="M7" s="225"/>
      <c r="N7" s="227"/>
      <c r="O7" s="227"/>
      <c r="P7" s="228"/>
      <c r="Q7" s="229"/>
      <c r="R7" s="206"/>
    </row>
    <row r="8" spans="1:51" s="239" customFormat="1" x14ac:dyDescent="0.3">
      <c r="A8" s="230">
        <v>1</v>
      </c>
      <c r="B8" s="231"/>
      <c r="C8" s="232"/>
      <c r="D8" s="231"/>
      <c r="E8" s="232"/>
      <c r="F8" s="231"/>
      <c r="G8" s="231"/>
      <c r="H8" s="233" t="s">
        <v>225</v>
      </c>
      <c r="I8" s="234">
        <f>+I9</f>
        <v>62473876000</v>
      </c>
      <c r="J8" s="234">
        <f>J9</f>
        <v>8681847312</v>
      </c>
      <c r="K8" s="235">
        <f>+J8/I8</f>
        <v>0.13896764324339345</v>
      </c>
      <c r="L8" s="234">
        <f>+L9</f>
        <v>53792028688</v>
      </c>
      <c r="M8" s="234">
        <f>+M9</f>
        <v>0</v>
      </c>
      <c r="N8" s="234">
        <f t="shared" ref="N8" si="0">+N9</f>
        <v>8385725873</v>
      </c>
      <c r="O8" s="236">
        <f>+N8/I8</f>
        <v>0.13422771900690139</v>
      </c>
      <c r="P8" s="234">
        <f>+P9</f>
        <v>8385707473</v>
      </c>
      <c r="Q8" s="237">
        <f>+P8/I8</f>
        <v>0.13422742448379543</v>
      </c>
      <c r="R8" s="238"/>
      <c r="AY8" s="240"/>
    </row>
    <row r="9" spans="1:51" x14ac:dyDescent="0.3">
      <c r="A9" s="241" t="s">
        <v>37</v>
      </c>
      <c r="B9" s="242" t="s">
        <v>37</v>
      </c>
      <c r="C9" s="242"/>
      <c r="D9" s="242"/>
      <c r="E9" s="242"/>
      <c r="F9" s="242"/>
      <c r="G9" s="242"/>
      <c r="H9" s="243" t="s">
        <v>265</v>
      </c>
      <c r="I9" s="244">
        <f>+I10+I18+I26</f>
        <v>62473876000</v>
      </c>
      <c r="J9" s="244">
        <f>+J10+J18+J26</f>
        <v>8681847312</v>
      </c>
      <c r="K9" s="245">
        <f t="shared" ref="K9:K73" si="1">+J9/I9</f>
        <v>0.13896764324339345</v>
      </c>
      <c r="L9" s="244">
        <f>+L10+L18+L26</f>
        <v>53792028688</v>
      </c>
      <c r="M9" s="244">
        <f>+M10+M18+M26</f>
        <v>0</v>
      </c>
      <c r="N9" s="244">
        <f>+N10+N18+N26</f>
        <v>8385725873</v>
      </c>
      <c r="O9" s="246">
        <f t="shared" ref="O9:O73" si="2">+N9/I9</f>
        <v>0.13422771900690139</v>
      </c>
      <c r="P9" s="244">
        <f>+P10+P18+P26</f>
        <v>8385707473</v>
      </c>
      <c r="Q9" s="247">
        <f t="shared" ref="Q9:Q73" si="3">+P9/I9</f>
        <v>0.13422742448379543</v>
      </c>
      <c r="S9" s="248"/>
    </row>
    <row r="10" spans="1:51" x14ac:dyDescent="0.3">
      <c r="A10" s="249" t="s">
        <v>37</v>
      </c>
      <c r="B10" s="250" t="s">
        <v>37</v>
      </c>
      <c r="C10" s="250" t="s">
        <v>37</v>
      </c>
      <c r="D10" s="250"/>
      <c r="E10" s="250"/>
      <c r="F10" s="250"/>
      <c r="G10" s="250"/>
      <c r="H10" s="251" t="s">
        <v>191</v>
      </c>
      <c r="I10" s="252">
        <f>+I11</f>
        <v>42805564000</v>
      </c>
      <c r="J10" s="252">
        <f>+J11</f>
        <v>5948442820</v>
      </c>
      <c r="K10" s="253">
        <f t="shared" si="1"/>
        <v>0.13896424352684619</v>
      </c>
      <c r="L10" s="252">
        <f>+L12+L13+L14+L15+L16+L17</f>
        <v>36857121180</v>
      </c>
      <c r="M10" s="252">
        <f>+M12+M13+M14+M15+M16+M17</f>
        <v>0</v>
      </c>
      <c r="N10" s="252">
        <f>+N12+N13+N14+N15+N16+N17</f>
        <v>5931110383</v>
      </c>
      <c r="O10" s="254">
        <f t="shared" si="2"/>
        <v>0.13855933268394735</v>
      </c>
      <c r="P10" s="252">
        <f>+P12+P13+P14+P15+P16+P17</f>
        <v>5931110383</v>
      </c>
      <c r="Q10" s="255">
        <f t="shared" si="3"/>
        <v>0.13855933268394735</v>
      </c>
    </row>
    <row r="11" spans="1:51" x14ac:dyDescent="0.3">
      <c r="A11" s="256" t="s">
        <v>37</v>
      </c>
      <c r="B11" s="257" t="s">
        <v>37</v>
      </c>
      <c r="C11" s="257" t="s">
        <v>37</v>
      </c>
      <c r="D11" s="258" t="s">
        <v>38</v>
      </c>
      <c r="E11" s="259"/>
      <c r="F11" s="259"/>
      <c r="G11" s="259"/>
      <c r="H11" s="260" t="s">
        <v>266</v>
      </c>
      <c r="I11" s="261">
        <f>+I12+I13+I14+I15++I16+I17</f>
        <v>42805564000</v>
      </c>
      <c r="J11" s="261">
        <f>+J12+J13+J14+J15+J16+J17</f>
        <v>5948442820</v>
      </c>
      <c r="K11" s="262">
        <f t="shared" si="1"/>
        <v>0.13896424352684619</v>
      </c>
      <c r="L11" s="261">
        <f>+L12+L13+L14+L15+L16+L17</f>
        <v>36857121180</v>
      </c>
      <c r="M11" s="261">
        <f>+M12+M13+M14+M15+M16+M17</f>
        <v>0</v>
      </c>
      <c r="N11" s="261">
        <f>+N12+N13+N14+N15+N16+N17</f>
        <v>5931110383</v>
      </c>
      <c r="O11" s="263">
        <f t="shared" si="2"/>
        <v>0.13855933268394735</v>
      </c>
      <c r="P11" s="261">
        <f>+P12+P13+P14+P15+P16+P17</f>
        <v>5931110383</v>
      </c>
      <c r="Q11" s="264">
        <f t="shared" si="3"/>
        <v>0.13855933268394735</v>
      </c>
    </row>
    <row r="12" spans="1:51" x14ac:dyDescent="0.3">
      <c r="A12" s="265" t="s">
        <v>37</v>
      </c>
      <c r="B12" s="266" t="s">
        <v>37</v>
      </c>
      <c r="C12" s="266" t="s">
        <v>37</v>
      </c>
      <c r="D12" s="267" t="s">
        <v>38</v>
      </c>
      <c r="E12" s="268" t="s">
        <v>38</v>
      </c>
      <c r="F12" s="259"/>
      <c r="G12" s="259"/>
      <c r="H12" s="269" t="s">
        <v>42</v>
      </c>
      <c r="I12" s="270">
        <f>+'[2]EJ. DESAGREGADA'!T5</f>
        <v>27261618200</v>
      </c>
      <c r="J12" s="270">
        <f>+'[2]EJ. DESAGREGADA'!X5</f>
        <v>4470651088</v>
      </c>
      <c r="K12" s="262">
        <f t="shared" si="1"/>
        <v>0.16399067198439451</v>
      </c>
      <c r="L12" s="270">
        <f>+'[2]EJ. DESAGREGADA'!AB5</f>
        <v>22790967112</v>
      </c>
      <c r="M12" s="270">
        <f>+'[2]EJ. DESAGREGADA'!W5</f>
        <v>0</v>
      </c>
      <c r="N12" s="271">
        <f>+'[2]EJ. DESAGREGADA'!Y5</f>
        <v>4470651088</v>
      </c>
      <c r="O12" s="272">
        <f t="shared" si="2"/>
        <v>0.16399067198439451</v>
      </c>
      <c r="P12" s="271">
        <f>+'[2]EJ. DESAGREGADA'!AA5</f>
        <v>4470651088</v>
      </c>
      <c r="Q12" s="273">
        <f t="shared" si="3"/>
        <v>0.16399067198439451</v>
      </c>
    </row>
    <row r="13" spans="1:51" x14ac:dyDescent="0.3">
      <c r="A13" s="265" t="s">
        <v>37</v>
      </c>
      <c r="B13" s="266" t="s">
        <v>37</v>
      </c>
      <c r="C13" s="266" t="s">
        <v>37</v>
      </c>
      <c r="D13" s="267" t="s">
        <v>38</v>
      </c>
      <c r="E13" s="268" t="s">
        <v>44</v>
      </c>
      <c r="F13" s="259"/>
      <c r="G13" s="259"/>
      <c r="H13" s="269" t="s">
        <v>45</v>
      </c>
      <c r="I13" s="270">
        <f>+'[2]EJ. DESAGREGADA'!T6</f>
        <v>6587557100</v>
      </c>
      <c r="J13" s="270">
        <f>+'[2]EJ. DESAGREGADA'!X6</f>
        <v>1089512139</v>
      </c>
      <c r="K13" s="262">
        <f t="shared" si="1"/>
        <v>0.165389403455797</v>
      </c>
      <c r="L13" s="270">
        <f>+'[2]EJ. DESAGREGADA'!AB6</f>
        <v>5498044961</v>
      </c>
      <c r="M13" s="270">
        <f>+'[2]EJ. DESAGREGADA'!W6</f>
        <v>0</v>
      </c>
      <c r="N13" s="271">
        <f>+'[2]EJ. DESAGREGADA'!Y6</f>
        <v>1089512139</v>
      </c>
      <c r="O13" s="272">
        <f t="shared" si="2"/>
        <v>0.165389403455797</v>
      </c>
      <c r="P13" s="271">
        <f>+'[2]EJ. DESAGREGADA'!AA6</f>
        <v>1089512139</v>
      </c>
      <c r="Q13" s="273">
        <f t="shared" si="3"/>
        <v>0.165389403455797</v>
      </c>
    </row>
    <row r="14" spans="1:51" x14ac:dyDescent="0.3">
      <c r="A14" s="265" t="s">
        <v>37</v>
      </c>
      <c r="B14" s="266" t="s">
        <v>37</v>
      </c>
      <c r="C14" s="266" t="s">
        <v>37</v>
      </c>
      <c r="D14" s="267" t="s">
        <v>38</v>
      </c>
      <c r="E14" s="268" t="s">
        <v>47</v>
      </c>
      <c r="F14" s="259"/>
      <c r="G14" s="259"/>
      <c r="H14" s="269" t="s">
        <v>48</v>
      </c>
      <c r="I14" s="270">
        <f>+'[2]EJ. DESAGREGADA'!T7</f>
        <v>2047729700</v>
      </c>
      <c r="J14" s="270">
        <f>+'[2]EJ. DESAGREGADA'!X7</f>
        <v>11496903</v>
      </c>
      <c r="K14" s="262">
        <f t="shared" si="1"/>
        <v>5.6144631784165655E-3</v>
      </c>
      <c r="L14" s="270">
        <f>+'[2]EJ. DESAGREGADA'!AB7</f>
        <v>2036232797</v>
      </c>
      <c r="M14" s="270">
        <f>+'[2]EJ. DESAGREGADA'!W7</f>
        <v>0</v>
      </c>
      <c r="N14" s="271">
        <f>+'[2]EJ. DESAGREGADA'!Y7</f>
        <v>10418072</v>
      </c>
      <c r="O14" s="272">
        <f t="shared" si="2"/>
        <v>5.0876206952509403E-3</v>
      </c>
      <c r="P14" s="271">
        <f>+'[2]EJ. DESAGREGADA'!AA7</f>
        <v>10418072</v>
      </c>
      <c r="Q14" s="273">
        <f t="shared" si="3"/>
        <v>5.0876206952509403E-3</v>
      </c>
    </row>
    <row r="15" spans="1:51" x14ac:dyDescent="0.3">
      <c r="A15" s="265" t="s">
        <v>37</v>
      </c>
      <c r="B15" s="266" t="s">
        <v>37</v>
      </c>
      <c r="C15" s="266" t="s">
        <v>37</v>
      </c>
      <c r="D15" s="267" t="s">
        <v>38</v>
      </c>
      <c r="E15" s="268" t="s">
        <v>50</v>
      </c>
      <c r="F15" s="259"/>
      <c r="G15" s="259"/>
      <c r="H15" s="269" t="s">
        <v>51</v>
      </c>
      <c r="I15" s="270">
        <f>+'[2]EJ. DESAGREGADA'!T8</f>
        <v>1383785700</v>
      </c>
      <c r="J15" s="270">
        <f>+'[2]EJ. DESAGREGADA'!X8</f>
        <v>253259387</v>
      </c>
      <c r="K15" s="262">
        <f t="shared" si="1"/>
        <v>0.18301922544798663</v>
      </c>
      <c r="L15" s="270">
        <f>+'[2]EJ. DESAGREGADA'!AB8</f>
        <v>1130526313</v>
      </c>
      <c r="M15" s="270">
        <f>+'[2]EJ. DESAGREGADA'!W8</f>
        <v>0</v>
      </c>
      <c r="N15" s="271">
        <f>+'[2]EJ. DESAGREGADA'!Y8</f>
        <v>252181123</v>
      </c>
      <c r="O15" s="272">
        <f t="shared" si="2"/>
        <v>0.1822400123082642</v>
      </c>
      <c r="P15" s="271">
        <f>+'[2]EJ. DESAGREGADA'!AA8</f>
        <v>252181123</v>
      </c>
      <c r="Q15" s="273">
        <f t="shared" si="3"/>
        <v>0.1822400123082642</v>
      </c>
    </row>
    <row r="16" spans="1:51" x14ac:dyDescent="0.3">
      <c r="A16" s="265" t="s">
        <v>37</v>
      </c>
      <c r="B16" s="266" t="s">
        <v>37</v>
      </c>
      <c r="C16" s="266" t="s">
        <v>37</v>
      </c>
      <c r="D16" s="267" t="s">
        <v>38</v>
      </c>
      <c r="E16" s="268" t="s">
        <v>53</v>
      </c>
      <c r="F16" s="259"/>
      <c r="G16" s="259"/>
      <c r="H16" s="269" t="s">
        <v>54</v>
      </c>
      <c r="I16" s="270">
        <f>+'[2]EJ. DESAGREGADA'!T9</f>
        <v>3681426800</v>
      </c>
      <c r="J16" s="270">
        <f>+'[2]EJ. DESAGREGADA'!X9</f>
        <v>5903448</v>
      </c>
      <c r="K16" s="262">
        <f t="shared" si="1"/>
        <v>1.6035760917479059E-3</v>
      </c>
      <c r="L16" s="270">
        <f>+'[2]EJ. DESAGREGADA'!AB9</f>
        <v>3675523352</v>
      </c>
      <c r="M16" s="270">
        <f>+'[2]EJ. DESAGREGADA'!W9</f>
        <v>0</v>
      </c>
      <c r="N16" s="271">
        <f>+'[2]EJ. DESAGREGADA'!Y9</f>
        <v>5903448</v>
      </c>
      <c r="O16" s="272">
        <f t="shared" si="2"/>
        <v>1.6035760917479059E-3</v>
      </c>
      <c r="P16" s="271">
        <f>+'[2]EJ. DESAGREGADA'!AA9</f>
        <v>5903448</v>
      </c>
      <c r="Q16" s="273">
        <f t="shared" si="3"/>
        <v>1.6035760917479059E-3</v>
      </c>
    </row>
    <row r="17" spans="1:51" x14ac:dyDescent="0.3">
      <c r="A17" s="265" t="s">
        <v>37</v>
      </c>
      <c r="B17" s="266" t="s">
        <v>37</v>
      </c>
      <c r="C17" s="266" t="s">
        <v>37</v>
      </c>
      <c r="D17" s="267" t="s">
        <v>38</v>
      </c>
      <c r="E17" s="268" t="s">
        <v>56</v>
      </c>
      <c r="F17" s="259"/>
      <c r="G17" s="259"/>
      <c r="H17" s="269" t="s">
        <v>57</v>
      </c>
      <c r="I17" s="270">
        <f>+'[2]EJ. DESAGREGADA'!T10</f>
        <v>1843446500</v>
      </c>
      <c r="J17" s="270">
        <f>+'[2]EJ. DESAGREGADA'!X10</f>
        <v>117619855</v>
      </c>
      <c r="K17" s="262">
        <f t="shared" si="1"/>
        <v>6.3804322501358188E-2</v>
      </c>
      <c r="L17" s="270">
        <f>+'[2]EJ. DESAGREGADA'!AB10</f>
        <v>1725826645</v>
      </c>
      <c r="M17" s="270">
        <f>+'[2]EJ. DESAGREGADA'!W10</f>
        <v>0</v>
      </c>
      <c r="N17" s="271">
        <f>+'[2]EJ. DESAGREGADA'!Y10</f>
        <v>102444513</v>
      </c>
      <c r="O17" s="272">
        <f t="shared" si="2"/>
        <v>5.5572273456267918E-2</v>
      </c>
      <c r="P17" s="271">
        <f>+'[2]EJ. DESAGREGADA'!AA10</f>
        <v>102444513</v>
      </c>
      <c r="Q17" s="273">
        <f t="shared" si="3"/>
        <v>5.5572273456267918E-2</v>
      </c>
    </row>
    <row r="18" spans="1:51" x14ac:dyDescent="0.3">
      <c r="A18" s="249" t="s">
        <v>37</v>
      </c>
      <c r="B18" s="250" t="s">
        <v>37</v>
      </c>
      <c r="C18" s="250" t="s">
        <v>59</v>
      </c>
      <c r="D18" s="250"/>
      <c r="E18" s="250"/>
      <c r="F18" s="250"/>
      <c r="G18" s="250"/>
      <c r="H18" s="251" t="s">
        <v>193</v>
      </c>
      <c r="I18" s="252">
        <f>+I19+I20+I21+I22+I23+I24+I25</f>
        <v>14894614000</v>
      </c>
      <c r="J18" s="252">
        <f>+J19+J20+J21+J22+J23+J24+J25</f>
        <v>2374783311</v>
      </c>
      <c r="K18" s="253">
        <f t="shared" si="1"/>
        <v>0.1594390637447872</v>
      </c>
      <c r="L18" s="252">
        <f>+L19+L20+L21+L22+L23+L24+L25</f>
        <v>12519830689</v>
      </c>
      <c r="M18" s="252">
        <f t="shared" ref="M18" si="4">+M19+M20+M21+M22+M23+M24+M25</f>
        <v>0</v>
      </c>
      <c r="N18" s="252">
        <f>+N19+N20+N21+N22+N23+N24+N25</f>
        <v>2115712764</v>
      </c>
      <c r="O18" s="254">
        <f t="shared" si="2"/>
        <v>0.1420454913433809</v>
      </c>
      <c r="P18" s="252">
        <f>+P19+P20+P21+P22+P23+P24+P25</f>
        <v>2115694364</v>
      </c>
      <c r="Q18" s="255">
        <f t="shared" si="3"/>
        <v>0.14204425599750353</v>
      </c>
      <c r="R18" s="274"/>
    </row>
    <row r="19" spans="1:51" x14ac:dyDescent="0.3">
      <c r="A19" s="265" t="s">
        <v>37</v>
      </c>
      <c r="B19" s="266" t="s">
        <v>37</v>
      </c>
      <c r="C19" s="266" t="s">
        <v>59</v>
      </c>
      <c r="D19" s="267" t="s">
        <v>38</v>
      </c>
      <c r="E19" s="268"/>
      <c r="F19" s="259"/>
      <c r="G19" s="259"/>
      <c r="H19" s="269" t="s">
        <v>60</v>
      </c>
      <c r="I19" s="270">
        <f>+'[2]EJ. DESAGREGADA'!T11</f>
        <v>4671808100</v>
      </c>
      <c r="J19" s="270">
        <f>+'[2]EJ. DESAGREGADA'!X11</f>
        <v>741768804</v>
      </c>
      <c r="K19" s="262">
        <f t="shared" si="1"/>
        <v>0.15877552932878386</v>
      </c>
      <c r="L19" s="270">
        <f>+'[2]EJ. DESAGREGADA'!AB11</f>
        <v>3930039296</v>
      </c>
      <c r="M19" s="270">
        <f>+'[2]EJ. DESAGREGADA'!W11</f>
        <v>0</v>
      </c>
      <c r="N19" s="270">
        <f>+'[2]EJ. DESAGREGADA'!Y11</f>
        <v>741768804</v>
      </c>
      <c r="O19" s="272">
        <f t="shared" si="2"/>
        <v>0.15877552932878386</v>
      </c>
      <c r="P19" s="271">
        <f>+'[2]EJ. DESAGREGADA'!AA11</f>
        <v>741768804</v>
      </c>
      <c r="Q19" s="273">
        <f t="shared" si="3"/>
        <v>0.15877552932878386</v>
      </c>
      <c r="R19" s="274"/>
    </row>
    <row r="20" spans="1:51" x14ac:dyDescent="0.3">
      <c r="A20" s="265" t="s">
        <v>37</v>
      </c>
      <c r="B20" s="266" t="s">
        <v>37</v>
      </c>
      <c r="C20" s="266" t="s">
        <v>59</v>
      </c>
      <c r="D20" s="267" t="s">
        <v>62</v>
      </c>
      <c r="E20" s="268"/>
      <c r="F20" s="259"/>
      <c r="G20" s="259"/>
      <c r="H20" s="269" t="s">
        <v>63</v>
      </c>
      <c r="I20" s="270">
        <f>+'[2]EJ. DESAGREGADA'!T12</f>
        <v>3254375400</v>
      </c>
      <c r="J20" s="270">
        <f>+'[2]EJ. DESAGREGADA'!X12</f>
        <v>524763397</v>
      </c>
      <c r="K20" s="262">
        <f t="shared" si="1"/>
        <v>0.16124857537947221</v>
      </c>
      <c r="L20" s="270">
        <f>+'[2]EJ. DESAGREGADA'!AB12</f>
        <v>2729612003</v>
      </c>
      <c r="M20" s="270">
        <f>+'[2]EJ. DESAGREGADA'!W12</f>
        <v>0</v>
      </c>
      <c r="N20" s="270">
        <f>+'[2]EJ. DESAGREGADA'!Y12</f>
        <v>524763397</v>
      </c>
      <c r="O20" s="272">
        <f t="shared" si="2"/>
        <v>0.16124857537947221</v>
      </c>
      <c r="P20" s="271">
        <f>+'[2]EJ. DESAGREGADA'!AA12</f>
        <v>524763397</v>
      </c>
      <c r="Q20" s="273">
        <f t="shared" si="3"/>
        <v>0.16124857537947221</v>
      </c>
      <c r="R20" s="274"/>
    </row>
    <row r="21" spans="1:51" x14ac:dyDescent="0.3">
      <c r="A21" s="265" t="s">
        <v>37</v>
      </c>
      <c r="B21" s="266" t="s">
        <v>37</v>
      </c>
      <c r="C21" s="266" t="s">
        <v>59</v>
      </c>
      <c r="D21" s="267" t="s">
        <v>44</v>
      </c>
      <c r="E21" s="268"/>
      <c r="F21" s="259"/>
      <c r="G21" s="259"/>
      <c r="H21" s="269" t="s">
        <v>65</v>
      </c>
      <c r="I21" s="270">
        <f>+'[2]EJ. DESAGREGADA'!T13</f>
        <v>3756560100</v>
      </c>
      <c r="J21" s="270">
        <f>+'[2]EJ. DESAGREGADA'!X13</f>
        <v>561772010</v>
      </c>
      <c r="K21" s="262">
        <f t="shared" si="1"/>
        <v>0.14954426258214262</v>
      </c>
      <c r="L21" s="270">
        <f>+'[2]EJ. DESAGREGADA'!AB13</f>
        <v>3194788090</v>
      </c>
      <c r="M21" s="270">
        <f>+'[2]EJ. DESAGREGADA'!W13</f>
        <v>0</v>
      </c>
      <c r="N21" s="270">
        <f>+'[2]EJ. DESAGREGADA'!Y13</f>
        <v>302701463</v>
      </c>
      <c r="O21" s="272">
        <f t="shared" si="2"/>
        <v>8.0579427705682119E-2</v>
      </c>
      <c r="P21" s="271">
        <f>+'[2]EJ. DESAGREGADA'!AA13</f>
        <v>302701463</v>
      </c>
      <c r="Q21" s="273">
        <f t="shared" si="3"/>
        <v>8.0579427705682119E-2</v>
      </c>
      <c r="R21" s="274"/>
      <c r="AX21" s="202"/>
      <c r="AY21" s="201"/>
    </row>
    <row r="22" spans="1:51" x14ac:dyDescent="0.3">
      <c r="A22" s="265" t="s">
        <v>37</v>
      </c>
      <c r="B22" s="266" t="s">
        <v>37</v>
      </c>
      <c r="C22" s="266" t="s">
        <v>59</v>
      </c>
      <c r="D22" s="267" t="s">
        <v>67</v>
      </c>
      <c r="E22" s="268"/>
      <c r="F22" s="259"/>
      <c r="G22" s="259"/>
      <c r="H22" s="269" t="s">
        <v>68</v>
      </c>
      <c r="I22" s="270">
        <f>+'[2]EJ. DESAGREGADA'!T14</f>
        <v>1348581200</v>
      </c>
      <c r="J22" s="270">
        <f>+'[2]EJ. DESAGREGADA'!X14</f>
        <v>236498500</v>
      </c>
      <c r="K22" s="262">
        <f t="shared" si="1"/>
        <v>0.17536837974606201</v>
      </c>
      <c r="L22" s="270">
        <f>+'[2]EJ. DESAGREGADA'!AB14</f>
        <v>1112082700</v>
      </c>
      <c r="M22" s="270">
        <f>+'[2]EJ. DESAGREGADA'!W14</f>
        <v>0</v>
      </c>
      <c r="N22" s="270">
        <f>+'[2]EJ. DESAGREGADA'!Y14</f>
        <v>236498500</v>
      </c>
      <c r="O22" s="272">
        <f t="shared" si="2"/>
        <v>0.17536837974606201</v>
      </c>
      <c r="P22" s="271">
        <f>+'[2]EJ. DESAGREGADA'!AA14</f>
        <v>236498500</v>
      </c>
      <c r="Q22" s="273">
        <f t="shared" si="3"/>
        <v>0.17536837974606201</v>
      </c>
      <c r="R22" s="274"/>
    </row>
    <row r="23" spans="1:51" x14ac:dyDescent="0.3">
      <c r="A23" s="265" t="s">
        <v>37</v>
      </c>
      <c r="B23" s="266" t="s">
        <v>37</v>
      </c>
      <c r="C23" s="266" t="s">
        <v>59</v>
      </c>
      <c r="D23" s="267" t="s">
        <v>70</v>
      </c>
      <c r="E23" s="268"/>
      <c r="F23" s="259"/>
      <c r="G23" s="259"/>
      <c r="H23" s="269" t="s">
        <v>71</v>
      </c>
      <c r="I23" s="270">
        <f>+'[2]EJ. DESAGREGADA'!T15</f>
        <v>252958200</v>
      </c>
      <c r="J23" s="270">
        <f>+'[2]EJ. DESAGREGADA'!X15</f>
        <v>14334000</v>
      </c>
      <c r="K23" s="262">
        <f t="shared" si="1"/>
        <v>5.6665488606417978E-2</v>
      </c>
      <c r="L23" s="270">
        <f>+'[2]EJ. DESAGREGADA'!AB15</f>
        <v>238624200</v>
      </c>
      <c r="M23" s="270">
        <f>+'[2]EJ. DESAGREGADA'!W15</f>
        <v>0</v>
      </c>
      <c r="N23" s="270">
        <f>+'[2]EJ. DESAGREGADA'!Y15</f>
        <v>14334000</v>
      </c>
      <c r="O23" s="272">
        <f t="shared" si="2"/>
        <v>5.6665488606417978E-2</v>
      </c>
      <c r="P23" s="271">
        <f>+'[2]EJ. DESAGREGADA'!AA15</f>
        <v>14315600</v>
      </c>
      <c r="Q23" s="273">
        <f t="shared" si="3"/>
        <v>5.6592749315894877E-2</v>
      </c>
    </row>
    <row r="24" spans="1:51" x14ac:dyDescent="0.3">
      <c r="A24" s="265" t="s">
        <v>37</v>
      </c>
      <c r="B24" s="266" t="s">
        <v>37</v>
      </c>
      <c r="C24" s="266" t="s">
        <v>59</v>
      </c>
      <c r="D24" s="267" t="s">
        <v>47</v>
      </c>
      <c r="E24" s="268"/>
      <c r="F24" s="259"/>
      <c r="G24" s="259"/>
      <c r="H24" s="269" t="s">
        <v>73</v>
      </c>
      <c r="I24" s="270">
        <f>+'[2]EJ. DESAGREGADA'!T16</f>
        <v>964028900</v>
      </c>
      <c r="J24" s="270">
        <f>+'[2]EJ. DESAGREGADA'!X16</f>
        <v>177380900</v>
      </c>
      <c r="K24" s="262">
        <f t="shared" si="1"/>
        <v>0.18399956681796573</v>
      </c>
      <c r="L24" s="270">
        <f>+'[2]EJ. DESAGREGADA'!AB16</f>
        <v>786648000</v>
      </c>
      <c r="M24" s="270">
        <f>+'[2]EJ. DESAGREGADA'!W16</f>
        <v>0</v>
      </c>
      <c r="N24" s="270">
        <f>+'[2]EJ. DESAGREGADA'!Y16</f>
        <v>177380900</v>
      </c>
      <c r="O24" s="272">
        <f t="shared" si="2"/>
        <v>0.18399956681796573</v>
      </c>
      <c r="P24" s="271">
        <f>+'[2]EJ. DESAGREGADA'!AA16</f>
        <v>177380900</v>
      </c>
      <c r="Q24" s="273">
        <f t="shared" si="3"/>
        <v>0.18399956681796573</v>
      </c>
    </row>
    <row r="25" spans="1:51" x14ac:dyDescent="0.3">
      <c r="A25" s="265" t="s">
        <v>37</v>
      </c>
      <c r="B25" s="266" t="s">
        <v>37</v>
      </c>
      <c r="C25" s="266" t="s">
        <v>59</v>
      </c>
      <c r="D25" s="267" t="s">
        <v>50</v>
      </c>
      <c r="E25" s="268"/>
      <c r="F25" s="259"/>
      <c r="G25" s="259"/>
      <c r="H25" s="269" t="s">
        <v>75</v>
      </c>
      <c r="I25" s="270">
        <f>+'[2]EJ. DESAGREGADA'!T17</f>
        <v>646302100</v>
      </c>
      <c r="J25" s="270">
        <f>+'[2]EJ. DESAGREGADA'!X17</f>
        <v>118265700</v>
      </c>
      <c r="K25" s="262">
        <f t="shared" si="1"/>
        <v>0.18298826508532157</v>
      </c>
      <c r="L25" s="270">
        <f>+'[2]EJ. DESAGREGADA'!AB17</f>
        <v>528036400</v>
      </c>
      <c r="M25" s="270">
        <f>+'[2]EJ. DESAGREGADA'!W17</f>
        <v>0</v>
      </c>
      <c r="N25" s="270">
        <f>+'[2]EJ. DESAGREGADA'!Y17</f>
        <v>118265700</v>
      </c>
      <c r="O25" s="272">
        <f t="shared" si="2"/>
        <v>0.18298826508532157</v>
      </c>
      <c r="P25" s="271">
        <f>+'[2]EJ. DESAGREGADA'!AA17</f>
        <v>118265700</v>
      </c>
      <c r="Q25" s="273">
        <f t="shared" si="3"/>
        <v>0.18298826508532157</v>
      </c>
    </row>
    <row r="26" spans="1:51" s="239" customFormat="1" ht="41.25" customHeight="1" x14ac:dyDescent="0.3">
      <c r="A26" s="249" t="s">
        <v>37</v>
      </c>
      <c r="B26" s="250" t="s">
        <v>37</v>
      </c>
      <c r="C26" s="250" t="s">
        <v>77</v>
      </c>
      <c r="D26" s="250"/>
      <c r="E26" s="250"/>
      <c r="F26" s="250"/>
      <c r="G26" s="250"/>
      <c r="H26" s="251" t="s">
        <v>195</v>
      </c>
      <c r="I26" s="252">
        <f>+I28+I29+I30+I31+I32+I33+I34</f>
        <v>4773698000</v>
      </c>
      <c r="J26" s="252">
        <f>+J28+J29+J30+J31+J32+J33+J34</f>
        <v>358621181</v>
      </c>
      <c r="K26" s="253">
        <f t="shared" si="1"/>
        <v>7.5124396432283733E-2</v>
      </c>
      <c r="L26" s="252">
        <f t="shared" ref="L26:N26" si="5">+L28+L29+L30+L31+L32+L33+L34</f>
        <v>4415076819</v>
      </c>
      <c r="M26" s="252">
        <f>+M28+M29+M30+M31+M32+M33+M34</f>
        <v>0</v>
      </c>
      <c r="N26" s="252">
        <f t="shared" si="5"/>
        <v>338902726</v>
      </c>
      <c r="O26" s="254">
        <f t="shared" si="2"/>
        <v>7.0993750756750851E-2</v>
      </c>
      <c r="P26" s="252">
        <f>+P28+P29+P30+P31+P32+P33+P34</f>
        <v>338902726</v>
      </c>
      <c r="Q26" s="255">
        <f t="shared" si="3"/>
        <v>7.0993750756750851E-2</v>
      </c>
      <c r="R26" s="275"/>
      <c r="AY26" s="240"/>
    </row>
    <row r="27" spans="1:51" x14ac:dyDescent="0.3">
      <c r="A27" s="256" t="s">
        <v>37</v>
      </c>
      <c r="B27" s="257" t="s">
        <v>37</v>
      </c>
      <c r="C27" s="257" t="s">
        <v>77</v>
      </c>
      <c r="D27" s="258" t="s">
        <v>38</v>
      </c>
      <c r="E27" s="276" t="s">
        <v>1</v>
      </c>
      <c r="F27" s="259"/>
      <c r="G27" s="259"/>
      <c r="H27" s="277" t="s">
        <v>267</v>
      </c>
      <c r="I27" s="278">
        <f>+I28+I29+I30</f>
        <v>3275829500</v>
      </c>
      <c r="J27" s="278">
        <f t="shared" ref="J27:N27" si="6">+J28+J29+J30</f>
        <v>171862901</v>
      </c>
      <c r="K27" s="262">
        <f t="shared" si="1"/>
        <v>5.2463933486159763E-2</v>
      </c>
      <c r="L27" s="278">
        <f t="shared" si="6"/>
        <v>3103966599</v>
      </c>
      <c r="M27" s="278">
        <f>+M28+M29+M30</f>
        <v>0</v>
      </c>
      <c r="N27" s="278">
        <f t="shared" si="6"/>
        <v>152144446</v>
      </c>
      <c r="O27" s="279">
        <f t="shared" si="2"/>
        <v>4.6444555798767918E-2</v>
      </c>
      <c r="P27" s="278">
        <f>+P28+P29+P30</f>
        <v>152144446</v>
      </c>
      <c r="Q27" s="280">
        <f t="shared" si="3"/>
        <v>4.6444555798767918E-2</v>
      </c>
    </row>
    <row r="28" spans="1:51" x14ac:dyDescent="0.3">
      <c r="A28" s="265" t="s">
        <v>37</v>
      </c>
      <c r="B28" s="266" t="s">
        <v>37</v>
      </c>
      <c r="C28" s="266" t="s">
        <v>77</v>
      </c>
      <c r="D28" s="267" t="s">
        <v>38</v>
      </c>
      <c r="E28" s="267" t="s">
        <v>38</v>
      </c>
      <c r="F28" s="259"/>
      <c r="G28" s="259"/>
      <c r="H28" s="269" t="s">
        <v>78</v>
      </c>
      <c r="I28" s="281">
        <f>+'[2]EJ. DESAGREGADA'!T18</f>
        <v>2538271900</v>
      </c>
      <c r="J28" s="281">
        <f>+'[2]EJ. DESAGREGADA'!X18</f>
        <v>126023291</v>
      </c>
      <c r="K28" s="262">
        <f t="shared" si="1"/>
        <v>4.9649247978516407E-2</v>
      </c>
      <c r="L28" s="271">
        <f>+'[2]EJ. DESAGREGADA'!AB18</f>
        <v>2412248609</v>
      </c>
      <c r="M28" s="271">
        <f>+'[2]EJ. DESAGREGADA'!W18</f>
        <v>0</v>
      </c>
      <c r="N28" s="271">
        <f>+'[2]EJ. DESAGREGADA'!Y18</f>
        <v>108067858</v>
      </c>
      <c r="O28" s="272">
        <f t="shared" si="2"/>
        <v>4.2575367122805088E-2</v>
      </c>
      <c r="P28" s="271">
        <f>+'[2]EJ. DESAGREGADA'!AA18</f>
        <v>108067858</v>
      </c>
      <c r="Q28" s="273">
        <f t="shared" si="3"/>
        <v>4.2575367122805088E-2</v>
      </c>
    </row>
    <row r="29" spans="1:51" x14ac:dyDescent="0.3">
      <c r="A29" s="265" t="s">
        <v>37</v>
      </c>
      <c r="B29" s="266" t="s">
        <v>37</v>
      </c>
      <c r="C29" s="266" t="s">
        <v>77</v>
      </c>
      <c r="D29" s="267" t="s">
        <v>38</v>
      </c>
      <c r="E29" s="267" t="s">
        <v>62</v>
      </c>
      <c r="F29" s="259"/>
      <c r="G29" s="259"/>
      <c r="H29" s="269" t="s">
        <v>80</v>
      </c>
      <c r="I29" s="281">
        <f>+'[2]EJ. DESAGREGADA'!T19</f>
        <v>475217900</v>
      </c>
      <c r="J29" s="281">
        <f>+'[2]EJ. DESAGREGADA'!X19</f>
        <v>31179051</v>
      </c>
      <c r="K29" s="262">
        <f t="shared" si="1"/>
        <v>6.56100096397884E-2</v>
      </c>
      <c r="L29" s="271">
        <f>+'[2]EJ. DESAGREGADA'!AB19</f>
        <v>444038849</v>
      </c>
      <c r="M29" s="271">
        <f>+'[2]EJ. DESAGREGADA'!W19</f>
        <v>0</v>
      </c>
      <c r="N29" s="271">
        <f>+'[2]EJ. DESAGREGADA'!Y19</f>
        <v>31179051</v>
      </c>
      <c r="O29" s="272">
        <f t="shared" si="2"/>
        <v>6.56100096397884E-2</v>
      </c>
      <c r="P29" s="271">
        <f>+'[2]EJ. DESAGREGADA'!AA19</f>
        <v>31179051</v>
      </c>
      <c r="Q29" s="273">
        <f t="shared" si="3"/>
        <v>6.56100096397884E-2</v>
      </c>
    </row>
    <row r="30" spans="1:51" x14ac:dyDescent="0.3">
      <c r="A30" s="265" t="s">
        <v>37</v>
      </c>
      <c r="B30" s="266" t="s">
        <v>37</v>
      </c>
      <c r="C30" s="266" t="s">
        <v>77</v>
      </c>
      <c r="D30" s="267" t="s">
        <v>38</v>
      </c>
      <c r="E30" s="267" t="s">
        <v>44</v>
      </c>
      <c r="F30" s="259"/>
      <c r="G30" s="259"/>
      <c r="H30" s="269" t="s">
        <v>82</v>
      </c>
      <c r="I30" s="281">
        <f>+'[2]EJ. DESAGREGADA'!T20</f>
        <v>262339700</v>
      </c>
      <c r="J30" s="281">
        <f>+'[2]EJ. DESAGREGADA'!X20</f>
        <v>14660559</v>
      </c>
      <c r="K30" s="262">
        <f t="shared" si="1"/>
        <v>5.5883874991089794E-2</v>
      </c>
      <c r="L30" s="271">
        <f>+'[2]EJ. DESAGREGADA'!AB20</f>
        <v>247679141</v>
      </c>
      <c r="M30" s="271">
        <f>+'[2]EJ. DESAGREGADA'!W20</f>
        <v>0</v>
      </c>
      <c r="N30" s="271">
        <f>+'[2]EJ. DESAGREGADA'!Y20</f>
        <v>12897537</v>
      </c>
      <c r="O30" s="272">
        <f t="shared" si="2"/>
        <v>4.9163496794423417E-2</v>
      </c>
      <c r="P30" s="271">
        <f>+'[2]EJ. DESAGREGADA'!AA20</f>
        <v>12897537</v>
      </c>
      <c r="Q30" s="273">
        <f t="shared" si="3"/>
        <v>4.9163496794423417E-2</v>
      </c>
    </row>
    <row r="31" spans="1:51" x14ac:dyDescent="0.3">
      <c r="A31" s="265" t="s">
        <v>37</v>
      </c>
      <c r="B31" s="266" t="s">
        <v>37</v>
      </c>
      <c r="C31" s="266" t="s">
        <v>77</v>
      </c>
      <c r="D31" s="267" t="s">
        <v>62</v>
      </c>
      <c r="E31" s="267"/>
      <c r="F31" s="259"/>
      <c r="G31" s="259"/>
      <c r="H31" s="269" t="s">
        <v>84</v>
      </c>
      <c r="I31" s="281">
        <f>+'[2]EJ. DESAGREGADA'!T21</f>
        <v>943648900</v>
      </c>
      <c r="J31" s="281">
        <f>+'[2]EJ. DESAGREGADA'!X21</f>
        <v>161984762</v>
      </c>
      <c r="K31" s="262">
        <f t="shared" si="1"/>
        <v>0.17165787190553605</v>
      </c>
      <c r="L31" s="271">
        <f>+'[2]EJ. DESAGREGADA'!AB21</f>
        <v>781664138</v>
      </c>
      <c r="M31" s="271">
        <f>+'[2]EJ. DESAGREGADA'!W21</f>
        <v>0</v>
      </c>
      <c r="N31" s="271">
        <f>+'[2]EJ. DESAGREGADA'!Y21</f>
        <v>161984762</v>
      </c>
      <c r="O31" s="272">
        <f t="shared" si="2"/>
        <v>0.17165787190553605</v>
      </c>
      <c r="P31" s="271">
        <f>+'[2]EJ. DESAGREGADA'!AA21</f>
        <v>161984762</v>
      </c>
      <c r="Q31" s="273">
        <f t="shared" si="3"/>
        <v>0.17165787190553605</v>
      </c>
    </row>
    <row r="32" spans="1:51" x14ac:dyDescent="0.3">
      <c r="A32" s="265" t="s">
        <v>37</v>
      </c>
      <c r="B32" s="266" t="s">
        <v>37</v>
      </c>
      <c r="C32" s="266" t="s">
        <v>77</v>
      </c>
      <c r="D32" s="267">
        <v>13</v>
      </c>
      <c r="E32" s="267"/>
      <c r="F32" s="259"/>
      <c r="G32" s="259"/>
      <c r="H32" s="269" t="s">
        <v>268</v>
      </c>
      <c r="I32" s="281">
        <f>+'[2]EJ. DESAGREGADA'!T22</f>
        <v>210000000</v>
      </c>
      <c r="J32" s="281">
        <f>+'[2]EJ. DESAGREGADA'!X22</f>
        <v>0</v>
      </c>
      <c r="K32" s="262">
        <f t="shared" si="1"/>
        <v>0</v>
      </c>
      <c r="L32" s="271">
        <f>+'[2]EJ. DESAGREGADA'!AB22</f>
        <v>210000000</v>
      </c>
      <c r="M32" s="271">
        <f>+'[2]EJ. DESAGREGADA'!W22</f>
        <v>0</v>
      </c>
      <c r="N32" s="271">
        <f>+'[2]EJ. DESAGREGADA'!Y22</f>
        <v>0</v>
      </c>
      <c r="O32" s="272">
        <f t="shared" si="2"/>
        <v>0</v>
      </c>
      <c r="P32" s="271">
        <f>+'[2]EJ. DESAGREGADA'!AA22</f>
        <v>0</v>
      </c>
      <c r="Q32" s="273">
        <f t="shared" si="3"/>
        <v>0</v>
      </c>
    </row>
    <row r="33" spans="1:51" x14ac:dyDescent="0.3">
      <c r="A33" s="265" t="s">
        <v>37</v>
      </c>
      <c r="B33" s="266" t="s">
        <v>37</v>
      </c>
      <c r="C33" s="266" t="s">
        <v>77</v>
      </c>
      <c r="D33" s="267" t="s">
        <v>89</v>
      </c>
      <c r="E33" s="267"/>
      <c r="F33" s="259"/>
      <c r="G33" s="259"/>
      <c r="H33" s="269" t="s">
        <v>90</v>
      </c>
      <c r="I33" s="281">
        <f>+'[2]EJ. DESAGREGADA'!T23</f>
        <v>207336500</v>
      </c>
      <c r="J33" s="281">
        <f>+'[2]EJ. DESAGREGADA'!X23</f>
        <v>24773518</v>
      </c>
      <c r="K33" s="262">
        <f t="shared" si="1"/>
        <v>0.11948459629635881</v>
      </c>
      <c r="L33" s="271">
        <f>+'[2]EJ. DESAGREGADA'!AB23</f>
        <v>182562982</v>
      </c>
      <c r="M33" s="271">
        <f>+'[2]EJ. DESAGREGADA'!W23</f>
        <v>0</v>
      </c>
      <c r="N33" s="271">
        <f>+'[2]EJ. DESAGREGADA'!Y23</f>
        <v>24773518</v>
      </c>
      <c r="O33" s="272">
        <f t="shared" si="2"/>
        <v>0.11948459629635881</v>
      </c>
      <c r="P33" s="271">
        <f>+'[2]EJ. DESAGREGADA'!AA23</f>
        <v>24773518</v>
      </c>
      <c r="Q33" s="273">
        <f t="shared" si="3"/>
        <v>0.11948459629635881</v>
      </c>
    </row>
    <row r="34" spans="1:51" x14ac:dyDescent="0.3">
      <c r="A34" s="265" t="s">
        <v>37</v>
      </c>
      <c r="B34" s="266" t="s">
        <v>37</v>
      </c>
      <c r="C34" s="266" t="s">
        <v>77</v>
      </c>
      <c r="D34" s="267" t="s">
        <v>92</v>
      </c>
      <c r="E34" s="267"/>
      <c r="F34" s="259"/>
      <c r="G34" s="259"/>
      <c r="H34" s="269" t="s">
        <v>93</v>
      </c>
      <c r="I34" s="281">
        <f>+'[2]EJ. DESAGREGADA'!T24</f>
        <v>136883100</v>
      </c>
      <c r="J34" s="281">
        <f>+'[2]EJ. DESAGREGADA'!X24</f>
        <v>0</v>
      </c>
      <c r="K34" s="262">
        <f t="shared" si="1"/>
        <v>0</v>
      </c>
      <c r="L34" s="271">
        <f>+'[2]EJ. DESAGREGADA'!AB24</f>
        <v>136883100</v>
      </c>
      <c r="M34" s="271">
        <f>+'[2]EJ. DESAGREGADA'!W24</f>
        <v>0</v>
      </c>
      <c r="N34" s="271">
        <f>+'[2]EJ. DESAGREGADA'!Y24</f>
        <v>0</v>
      </c>
      <c r="O34" s="272">
        <f t="shared" si="2"/>
        <v>0</v>
      </c>
      <c r="P34" s="271">
        <f>+'[2]EJ. DESAGREGADA'!AA24</f>
        <v>0</v>
      </c>
      <c r="Q34" s="273">
        <f t="shared" si="3"/>
        <v>0</v>
      </c>
    </row>
    <row r="35" spans="1:51" s="239" customFormat="1" x14ac:dyDescent="0.3">
      <c r="A35" s="230">
        <v>2</v>
      </c>
      <c r="B35" s="231" t="s">
        <v>1</v>
      </c>
      <c r="C35" s="232" t="s">
        <v>1</v>
      </c>
      <c r="D35" s="231" t="s">
        <v>1</v>
      </c>
      <c r="E35" s="232"/>
      <c r="F35" s="231"/>
      <c r="G35" s="231"/>
      <c r="H35" s="233" t="s">
        <v>197</v>
      </c>
      <c r="I35" s="234">
        <f>I36</f>
        <v>170358209405</v>
      </c>
      <c r="J35" s="234">
        <f>J36</f>
        <v>99458071531.869995</v>
      </c>
      <c r="K35" s="235">
        <f t="shared" si="1"/>
        <v>0.58381730988627611</v>
      </c>
      <c r="L35" s="234">
        <f t="shared" ref="L35:N37" si="7">+L36</f>
        <v>8915296082.4099998</v>
      </c>
      <c r="M35" s="234">
        <f t="shared" si="7"/>
        <v>61984841790.720001</v>
      </c>
      <c r="N35" s="234">
        <f t="shared" si="7"/>
        <v>359691628.02999997</v>
      </c>
      <c r="O35" s="236">
        <f>+N35/I35</f>
        <v>2.1113841785862482E-3</v>
      </c>
      <c r="P35" s="234">
        <f>+P36</f>
        <v>359691628.02999997</v>
      </c>
      <c r="Q35" s="237">
        <f t="shared" si="3"/>
        <v>2.1113841785862482E-3</v>
      </c>
      <c r="R35" s="238"/>
      <c r="AY35" s="240"/>
    </row>
    <row r="36" spans="1:51" x14ac:dyDescent="0.3">
      <c r="A36" s="282">
        <v>2</v>
      </c>
      <c r="B36" s="283">
        <v>1</v>
      </c>
      <c r="C36" s="283"/>
      <c r="D36" s="284"/>
      <c r="E36" s="285"/>
      <c r="F36" s="286"/>
      <c r="G36" s="286"/>
      <c r="H36" s="251" t="s">
        <v>226</v>
      </c>
      <c r="I36" s="252">
        <f>+I37</f>
        <v>170358209405</v>
      </c>
      <c r="J36" s="252">
        <f>+J37</f>
        <v>99458071531.869995</v>
      </c>
      <c r="K36" s="253">
        <f t="shared" si="1"/>
        <v>0.58381730988627611</v>
      </c>
      <c r="L36" s="252">
        <f t="shared" si="7"/>
        <v>8915296082.4099998</v>
      </c>
      <c r="M36" s="252">
        <f t="shared" si="7"/>
        <v>61984841790.720001</v>
      </c>
      <c r="N36" s="252">
        <f t="shared" si="7"/>
        <v>359691628.02999997</v>
      </c>
      <c r="O36" s="254">
        <f t="shared" ref="O36:O37" si="8">+N36/I36</f>
        <v>2.1113841785862482E-3</v>
      </c>
      <c r="P36" s="252">
        <f>+P39+P43+P50+P56+P61+P65+P72+P77</f>
        <v>359691628.02999997</v>
      </c>
      <c r="Q36" s="255">
        <f>+P36/I36</f>
        <v>2.1113841785862482E-3</v>
      </c>
      <c r="R36" s="275"/>
      <c r="S36" s="287"/>
    </row>
    <row r="37" spans="1:51" s="294" customFormat="1" x14ac:dyDescent="0.3">
      <c r="A37" s="256">
        <v>2</v>
      </c>
      <c r="B37" s="257">
        <v>2</v>
      </c>
      <c r="C37" s="257"/>
      <c r="D37" s="288"/>
      <c r="E37" s="63"/>
      <c r="F37" s="289"/>
      <c r="G37" s="289"/>
      <c r="H37" s="290" t="s">
        <v>226</v>
      </c>
      <c r="I37" s="261">
        <f>+I38</f>
        <v>170358209405</v>
      </c>
      <c r="J37" s="261">
        <f>+J38</f>
        <v>99458071531.869995</v>
      </c>
      <c r="K37" s="291">
        <f t="shared" si="1"/>
        <v>0.58381730988627611</v>
      </c>
      <c r="L37" s="261">
        <f t="shared" si="7"/>
        <v>8915296082.4099998</v>
      </c>
      <c r="M37" s="261">
        <f t="shared" si="7"/>
        <v>61984841790.720001</v>
      </c>
      <c r="N37" s="261">
        <f t="shared" si="7"/>
        <v>359691628.02999997</v>
      </c>
      <c r="O37" s="263">
        <f t="shared" si="8"/>
        <v>2.1113841785862482E-3</v>
      </c>
      <c r="P37" s="261">
        <f>+P38</f>
        <v>359691628.02999997</v>
      </c>
      <c r="Q37" s="264">
        <f>+P37/I37</f>
        <v>2.1113841785862482E-3</v>
      </c>
      <c r="R37" s="292"/>
      <c r="S37" s="293"/>
      <c r="AY37" s="295"/>
    </row>
    <row r="38" spans="1:51" s="239" customFormat="1" ht="14.25" customHeight="1" x14ac:dyDescent="0.3">
      <c r="A38" s="256">
        <v>2</v>
      </c>
      <c r="B38" s="257">
        <v>2</v>
      </c>
      <c r="C38" s="257">
        <v>1</v>
      </c>
      <c r="D38" s="296"/>
      <c r="E38" s="276"/>
      <c r="F38" s="259"/>
      <c r="G38" s="259"/>
      <c r="H38" s="297" t="s">
        <v>269</v>
      </c>
      <c r="I38" s="278">
        <f>+I39+I43+I50+I56+I61+I65+I72+I77</f>
        <v>170358209405</v>
      </c>
      <c r="J38" s="278">
        <f>+J39+J43+J50+J56+J61+J65+J72+J77</f>
        <v>99458071531.869995</v>
      </c>
      <c r="K38" s="298">
        <f>+J38/I38</f>
        <v>0.58381730988627611</v>
      </c>
      <c r="L38" s="278">
        <f>+L39+L43+L50+L56+L61+L65+L72+L77</f>
        <v>8915296082.4099998</v>
      </c>
      <c r="M38" s="278">
        <f>+M39+M43+M50+M56+M61+M65+M72+M77</f>
        <v>61984841790.720001</v>
      </c>
      <c r="N38" s="278">
        <f>+N39+N43+N50+N56+N61+N65+N72+N77</f>
        <v>359691628.02999997</v>
      </c>
      <c r="O38" s="299">
        <f>+N38/I38</f>
        <v>2.1113841785862482E-3</v>
      </c>
      <c r="P38" s="278">
        <f>+P39+P43+P50+P56+P61+P65+P72+P77</f>
        <v>359691628.02999997</v>
      </c>
      <c r="Q38" s="300">
        <f>+P38/I38</f>
        <v>2.1113841785862482E-3</v>
      </c>
      <c r="R38" s="238"/>
      <c r="S38" s="287"/>
      <c r="AY38" s="240"/>
    </row>
    <row r="39" spans="1:51" s="239" customFormat="1" ht="50.25" customHeight="1" x14ac:dyDescent="0.3">
      <c r="A39" s="256">
        <v>2</v>
      </c>
      <c r="B39" s="257">
        <v>2</v>
      </c>
      <c r="C39" s="257">
        <v>1</v>
      </c>
      <c r="D39" s="258">
        <v>2</v>
      </c>
      <c r="E39" s="259"/>
      <c r="F39" s="259"/>
      <c r="G39" s="259"/>
      <c r="H39" s="297" t="s">
        <v>270</v>
      </c>
      <c r="I39" s="301">
        <f>+SUM(I40:I42)</f>
        <v>13661477</v>
      </c>
      <c r="J39" s="301">
        <f>+SUM(J40:J42)</f>
        <v>3621730.69</v>
      </c>
      <c r="K39" s="298">
        <f>+J39/I39</f>
        <v>0.26510535354266601</v>
      </c>
      <c r="L39" s="302">
        <f>+SUM(L40:L42)</f>
        <v>0</v>
      </c>
      <c r="M39" s="302">
        <f>+SUM(M40:M42)</f>
        <v>10039746.309999999</v>
      </c>
      <c r="N39" s="302">
        <f>+SUM(N40:N42)</f>
        <v>1000000</v>
      </c>
      <c r="O39" s="299">
        <f>+N39/I39</f>
        <v>7.3198527509141215E-2</v>
      </c>
      <c r="P39" s="302">
        <f>+SUM(P40:P42)</f>
        <v>1000000</v>
      </c>
      <c r="Q39" s="300">
        <f>+P39/I39</f>
        <v>7.3198527509141215E-2</v>
      </c>
      <c r="R39" s="200"/>
      <c r="AY39" s="240"/>
    </row>
    <row r="40" spans="1:51" ht="21.6" x14ac:dyDescent="0.3">
      <c r="A40" s="265">
        <v>2</v>
      </c>
      <c r="B40" s="266">
        <v>2</v>
      </c>
      <c r="C40" s="266">
        <v>1</v>
      </c>
      <c r="D40" s="267">
        <v>2</v>
      </c>
      <c r="E40" s="267">
        <v>3</v>
      </c>
      <c r="F40" s="259"/>
      <c r="G40" s="259"/>
      <c r="H40" s="303" t="s">
        <v>95</v>
      </c>
      <c r="I40" s="281">
        <f>+'[2]EJ. DESAGREGADA'!T25</f>
        <v>5000000</v>
      </c>
      <c r="J40" s="281">
        <f>+'[2]EJ. DESAGREGADA'!X25</f>
        <v>1000000</v>
      </c>
      <c r="K40" s="304">
        <f t="shared" si="1"/>
        <v>0.2</v>
      </c>
      <c r="L40" s="281">
        <f>+'[2]EJ. DESAGREGADA'!AB25-4000000</f>
        <v>0</v>
      </c>
      <c r="M40" s="281">
        <f>+'[2]EJ. DESAGREGADA'!W25+4000000</f>
        <v>4000000</v>
      </c>
      <c r="N40" s="281">
        <f>+'[2]EJ. DESAGREGADA'!Y25</f>
        <v>1000000</v>
      </c>
      <c r="O40" s="305">
        <f>+N40/I40</f>
        <v>0.2</v>
      </c>
      <c r="P40" s="281">
        <f>+'[2]EJ. DESAGREGADA'!AA25</f>
        <v>1000000</v>
      </c>
      <c r="Q40" s="306">
        <f t="shared" si="3"/>
        <v>0.2</v>
      </c>
    </row>
    <row r="41" spans="1:51" x14ac:dyDescent="0.3">
      <c r="A41" s="265">
        <v>2</v>
      </c>
      <c r="B41" s="266">
        <v>2</v>
      </c>
      <c r="C41" s="266">
        <v>1</v>
      </c>
      <c r="D41" s="267">
        <v>2</v>
      </c>
      <c r="E41" s="267">
        <v>6</v>
      </c>
      <c r="F41" s="259"/>
      <c r="G41" s="259"/>
      <c r="H41" s="303" t="s">
        <v>97</v>
      </c>
      <c r="I41" s="281">
        <f>+'[2]EJ. DESAGREGADA'!T26</f>
        <v>7859273</v>
      </c>
      <c r="J41" s="281">
        <f>+'[2]EJ. DESAGREGADA'!X26</f>
        <v>2416017.39</v>
      </c>
      <c r="K41" s="304">
        <f t="shared" si="1"/>
        <v>0.30740978077743325</v>
      </c>
      <c r="L41" s="281">
        <f>+'[2]EJ. DESAGREGADA'!AB26-5443255.61</f>
        <v>0</v>
      </c>
      <c r="M41" s="281">
        <f>+'[2]EJ. DESAGREGADA'!W26+5443255.61</f>
        <v>5443255.6100000003</v>
      </c>
      <c r="N41" s="281">
        <f>+'[2]EJ. DESAGREGADA'!Y26</f>
        <v>0</v>
      </c>
      <c r="O41" s="305">
        <f t="shared" ref="O41:O42" si="9">+N41/I41</f>
        <v>0</v>
      </c>
      <c r="P41" s="281">
        <f>+'[2]EJ. DESAGREGADA'!AA26</f>
        <v>0</v>
      </c>
      <c r="Q41" s="306">
        <f t="shared" si="3"/>
        <v>0</v>
      </c>
    </row>
    <row r="42" spans="1:51" x14ac:dyDescent="0.3">
      <c r="A42" s="265">
        <v>2</v>
      </c>
      <c r="B42" s="266">
        <v>2</v>
      </c>
      <c r="C42" s="266">
        <v>1</v>
      </c>
      <c r="D42" s="267">
        <v>2</v>
      </c>
      <c r="E42" s="267">
        <v>7</v>
      </c>
      <c r="F42" s="259"/>
      <c r="G42" s="259"/>
      <c r="H42" s="303" t="s">
        <v>251</v>
      </c>
      <c r="I42" s="281">
        <f>+'[2]EJ. DESAGREGADA'!T27</f>
        <v>802204</v>
      </c>
      <c r="J42" s="281">
        <f>+'[2]EJ. DESAGREGADA'!X27</f>
        <v>205713.3</v>
      </c>
      <c r="K42" s="304">
        <f t="shared" si="1"/>
        <v>0.25643514617229529</v>
      </c>
      <c r="L42" s="281">
        <f>+'[2]EJ. DESAGREGADA'!AB27-596490.7</f>
        <v>0</v>
      </c>
      <c r="M42" s="281">
        <f>+'[2]EJ. DESAGREGADA'!W27+596490.7</f>
        <v>596490.69999999995</v>
      </c>
      <c r="N42" s="281">
        <f>+'[2]EJ. DESAGREGADA'!Y27</f>
        <v>0</v>
      </c>
      <c r="O42" s="305">
        <f t="shared" si="9"/>
        <v>0</v>
      </c>
      <c r="P42" s="281">
        <f>+'[2]EJ. DESAGREGADA'!AA27</f>
        <v>0</v>
      </c>
      <c r="Q42" s="306">
        <f t="shared" si="3"/>
        <v>0</v>
      </c>
    </row>
    <row r="43" spans="1:51" s="239" customFormat="1" ht="21.6" x14ac:dyDescent="0.3">
      <c r="A43" s="307">
        <v>2</v>
      </c>
      <c r="B43" s="308">
        <v>2</v>
      </c>
      <c r="C43" s="308">
        <v>1</v>
      </c>
      <c r="D43" s="309">
        <v>3</v>
      </c>
      <c r="E43" s="259"/>
      <c r="F43" s="259"/>
      <c r="G43" s="259"/>
      <c r="H43" s="297" t="s">
        <v>271</v>
      </c>
      <c r="I43" s="301">
        <f>SUM(I44:I49)</f>
        <v>172661860</v>
      </c>
      <c r="J43" s="301">
        <f>SUM(J44:J49)</f>
        <v>37479815.140000001</v>
      </c>
      <c r="K43" s="298">
        <f>+J43/I43</f>
        <v>0.21707060922429539</v>
      </c>
      <c r="L43" s="302">
        <f>SUM(L44:L49)</f>
        <v>6999999.9999999981</v>
      </c>
      <c r="M43" s="302">
        <f>SUM(M44:M49)</f>
        <v>128182044.86</v>
      </c>
      <c r="N43" s="302">
        <f>SUM(N44:N49)</f>
        <v>500000</v>
      </c>
      <c r="O43" s="299">
        <f>+N43/I43</f>
        <v>2.8958335094965387E-3</v>
      </c>
      <c r="P43" s="302">
        <f>SUM(P44:P49)</f>
        <v>500000</v>
      </c>
      <c r="Q43" s="299">
        <f>+P43/I43</f>
        <v>2.8958335094965387E-3</v>
      </c>
      <c r="R43" s="238"/>
      <c r="AY43" s="240"/>
    </row>
    <row r="44" spans="1:51" s="239" customFormat="1" ht="21.6" x14ac:dyDescent="0.3">
      <c r="A44" s="310">
        <v>2</v>
      </c>
      <c r="B44" s="311">
        <v>2</v>
      </c>
      <c r="C44" s="311">
        <v>1</v>
      </c>
      <c r="D44" s="312">
        <v>3</v>
      </c>
      <c r="E44" s="312">
        <v>2</v>
      </c>
      <c r="F44" s="259"/>
      <c r="G44" s="259"/>
      <c r="H44" s="303" t="s">
        <v>272</v>
      </c>
      <c r="I44" s="281">
        <f>+'[2]EJ. DESAGREGADA'!T28</f>
        <v>91952019</v>
      </c>
      <c r="J44" s="281">
        <f>+'[2]EJ. DESAGREGADA'!X28</f>
        <v>27612044.359999999</v>
      </c>
      <c r="K44" s="304">
        <f t="shared" ref="K44:K54" si="10">+J44/I44</f>
        <v>0.30028752669367703</v>
      </c>
      <c r="L44" s="281">
        <f>+'[2]EJ. DESAGREGADA'!AB28-63339974.64</f>
        <v>0</v>
      </c>
      <c r="M44" s="281">
        <f>+'[2]EJ. DESAGREGADA'!W28+63339974.64</f>
        <v>64339974.640000001</v>
      </c>
      <c r="N44" s="281">
        <f>+'[2]EJ. DESAGREGADA'!Y28</f>
        <v>0</v>
      </c>
      <c r="O44" s="305">
        <f t="shared" ref="O44:O54" si="11">+N44/I44</f>
        <v>0</v>
      </c>
      <c r="P44" s="281">
        <f>+'[2]EJ. DESAGREGADA'!AA28</f>
        <v>0</v>
      </c>
      <c r="Q44" s="306">
        <f t="shared" ref="Q44:Q49" si="12">+P44/I44</f>
        <v>0</v>
      </c>
      <c r="R44" s="200"/>
      <c r="AY44" s="240"/>
    </row>
    <row r="45" spans="1:51" s="239" customFormat="1" ht="21.6" x14ac:dyDescent="0.3">
      <c r="A45" s="310">
        <v>2</v>
      </c>
      <c r="B45" s="311">
        <v>2</v>
      </c>
      <c r="C45" s="311">
        <v>1</v>
      </c>
      <c r="D45" s="312">
        <v>3</v>
      </c>
      <c r="E45" s="312">
        <v>3</v>
      </c>
      <c r="F45" s="259"/>
      <c r="G45" s="259"/>
      <c r="H45" s="303" t="s">
        <v>103</v>
      </c>
      <c r="I45" s="281">
        <f>+'[2]EJ. DESAGREGADA'!T29</f>
        <v>500000</v>
      </c>
      <c r="J45" s="281">
        <f>+'[2]EJ. DESAGREGADA'!X29</f>
        <v>500000</v>
      </c>
      <c r="K45" s="304">
        <f t="shared" si="10"/>
        <v>1</v>
      </c>
      <c r="L45" s="281">
        <f>+'[2]EJ. DESAGREGADA'!AB29</f>
        <v>0</v>
      </c>
      <c r="M45" s="281">
        <f>+'[2]EJ. DESAGREGADA'!W29</f>
        <v>0</v>
      </c>
      <c r="N45" s="281">
        <f>+'[2]EJ. DESAGREGADA'!Y29</f>
        <v>500000</v>
      </c>
      <c r="O45" s="305">
        <f t="shared" si="11"/>
        <v>1</v>
      </c>
      <c r="P45" s="281">
        <f>+'[2]EJ. DESAGREGADA'!AA29</f>
        <v>500000</v>
      </c>
      <c r="Q45" s="306">
        <f t="shared" si="12"/>
        <v>1</v>
      </c>
      <c r="R45" s="200"/>
      <c r="AY45" s="240"/>
    </row>
    <row r="46" spans="1:51" s="239" customFormat="1" x14ac:dyDescent="0.3">
      <c r="A46" s="310">
        <v>2</v>
      </c>
      <c r="B46" s="311">
        <v>2</v>
      </c>
      <c r="C46" s="311">
        <v>1</v>
      </c>
      <c r="D46" s="312">
        <v>3</v>
      </c>
      <c r="E46" s="312">
        <v>4</v>
      </c>
      <c r="F46" s="259"/>
      <c r="G46" s="259"/>
      <c r="H46" s="313" t="s">
        <v>105</v>
      </c>
      <c r="I46" s="281">
        <f>+'[2]EJ. DESAGREGADA'!T30</f>
        <v>576359</v>
      </c>
      <c r="J46" s="281">
        <f>+'[2]EJ. DESAGREGADA'!X30</f>
        <v>159352.67000000001</v>
      </c>
      <c r="K46" s="304">
        <f t="shared" si="10"/>
        <v>0.2764816199625581</v>
      </c>
      <c r="L46" s="281">
        <f>+'[2]EJ. DESAGREGADA'!AB30-417006.33</f>
        <v>0</v>
      </c>
      <c r="M46" s="281">
        <f>+'[2]EJ. DESAGREGADA'!W30+417006.33</f>
        <v>417006.33</v>
      </c>
      <c r="N46" s="281">
        <f>+'[2]EJ. DESAGREGADA'!Y30</f>
        <v>0</v>
      </c>
      <c r="O46" s="305">
        <f t="shared" si="11"/>
        <v>0</v>
      </c>
      <c r="P46" s="281">
        <f>+'[2]EJ. DESAGREGADA'!AA30</f>
        <v>0</v>
      </c>
      <c r="Q46" s="306"/>
      <c r="R46" s="200"/>
      <c r="AY46" s="240"/>
    </row>
    <row r="47" spans="1:51" ht="21.6" x14ac:dyDescent="0.3">
      <c r="A47" s="265">
        <v>2</v>
      </c>
      <c r="B47" s="266">
        <v>2</v>
      </c>
      <c r="C47" s="266">
        <v>1</v>
      </c>
      <c r="D47" s="267">
        <v>3</v>
      </c>
      <c r="E47" s="267">
        <v>5</v>
      </c>
      <c r="F47" s="259"/>
      <c r="G47" s="259"/>
      <c r="H47" s="303" t="s">
        <v>107</v>
      </c>
      <c r="I47" s="281">
        <f>+'[2]EJ. DESAGREGADA'!T31</f>
        <v>11209179</v>
      </c>
      <c r="J47" s="281">
        <f>+'[2]EJ. DESAGREGADA'!X31</f>
        <v>3367499.56</v>
      </c>
      <c r="K47" s="304">
        <f t="shared" si="10"/>
        <v>0.30042339050879641</v>
      </c>
      <c r="L47" s="281">
        <f>+'[2]EJ. DESAGREGADA'!AB31-7041679.44</f>
        <v>400000</v>
      </c>
      <c r="M47" s="281">
        <f>+'[2]EJ. DESAGREGADA'!W31+7041679.44</f>
        <v>7441679.4400000004</v>
      </c>
      <c r="N47" s="281">
        <f>+'[2]EJ. DESAGREGADA'!Y31</f>
        <v>0</v>
      </c>
      <c r="O47" s="305">
        <f t="shared" si="11"/>
        <v>0</v>
      </c>
      <c r="P47" s="281">
        <f>+'[2]EJ. DESAGREGADA'!AA31</f>
        <v>0</v>
      </c>
      <c r="Q47" s="306">
        <f t="shared" si="12"/>
        <v>0</v>
      </c>
    </row>
    <row r="48" spans="1:51" x14ac:dyDescent="0.3">
      <c r="A48" s="265">
        <v>2</v>
      </c>
      <c r="B48" s="266">
        <v>2</v>
      </c>
      <c r="C48" s="266">
        <v>1</v>
      </c>
      <c r="D48" s="267">
        <v>3</v>
      </c>
      <c r="E48" s="267">
        <v>6</v>
      </c>
      <c r="F48" s="259"/>
      <c r="G48" s="259"/>
      <c r="H48" s="303" t="s">
        <v>109</v>
      </c>
      <c r="I48" s="281">
        <f>+'[2]EJ. DESAGREGADA'!T32</f>
        <v>30976536</v>
      </c>
      <c r="J48" s="281">
        <f>+'[2]EJ. DESAGREGADA'!X32</f>
        <v>5317356.0999999996</v>
      </c>
      <c r="K48" s="304">
        <f t="shared" si="10"/>
        <v>0.17165754427803029</v>
      </c>
      <c r="L48" s="281">
        <f>+'[2]EJ. DESAGREGADA'!AB32-11720145.9</f>
        <v>6599999.9999999981</v>
      </c>
      <c r="M48" s="281">
        <f>+'[2]EJ. DESAGREGADA'!W32+11720145.9</f>
        <v>19059179.899999999</v>
      </c>
      <c r="N48" s="281">
        <f>+'[2]EJ. DESAGREGADA'!Y32</f>
        <v>0</v>
      </c>
      <c r="O48" s="305">
        <f t="shared" si="11"/>
        <v>0</v>
      </c>
      <c r="P48" s="281">
        <f>+'[2]EJ. DESAGREGADA'!AA32</f>
        <v>0</v>
      </c>
      <c r="Q48" s="306">
        <f t="shared" si="12"/>
        <v>0</v>
      </c>
      <c r="R48" s="200">
        <v>778449.5</v>
      </c>
    </row>
    <row r="49" spans="1:51" x14ac:dyDescent="0.3">
      <c r="A49" s="265">
        <v>2</v>
      </c>
      <c r="B49" s="266">
        <v>2</v>
      </c>
      <c r="C49" s="266">
        <v>1</v>
      </c>
      <c r="D49" s="267">
        <v>3</v>
      </c>
      <c r="E49" s="267">
        <v>8</v>
      </c>
      <c r="F49" s="259"/>
      <c r="G49" s="259"/>
      <c r="H49" s="303" t="s">
        <v>112</v>
      </c>
      <c r="I49" s="281">
        <f>+'[2]EJ. DESAGREGADA'!T33</f>
        <v>37447767</v>
      </c>
      <c r="J49" s="281">
        <f>+'[2]EJ. DESAGREGADA'!X33</f>
        <v>523562.45</v>
      </c>
      <c r="K49" s="304">
        <f t="shared" si="10"/>
        <v>1.3981139382756788E-2</v>
      </c>
      <c r="L49" s="281">
        <f>+'[2]EJ. DESAGREGADA'!AB33-1358911.55</f>
        <v>0</v>
      </c>
      <c r="M49" s="281">
        <f>+'[2]EJ. DESAGREGADA'!W33+1358911.55</f>
        <v>36924204.549999997</v>
      </c>
      <c r="N49" s="281">
        <f>+'[2]EJ. DESAGREGADA'!Y33</f>
        <v>0</v>
      </c>
      <c r="O49" s="305">
        <f t="shared" si="11"/>
        <v>0</v>
      </c>
      <c r="P49" s="281">
        <f>+'[2]EJ. DESAGREGADA'!AA33</f>
        <v>0</v>
      </c>
      <c r="Q49" s="306">
        <f t="shared" si="12"/>
        <v>0</v>
      </c>
    </row>
    <row r="50" spans="1:51" s="239" customFormat="1" x14ac:dyDescent="0.3">
      <c r="A50" s="307">
        <v>2</v>
      </c>
      <c r="B50" s="308">
        <v>2</v>
      </c>
      <c r="C50" s="308">
        <v>1</v>
      </c>
      <c r="D50" s="309">
        <v>4</v>
      </c>
      <c r="E50" s="259"/>
      <c r="F50" s="259"/>
      <c r="G50" s="259"/>
      <c r="H50" s="297" t="s">
        <v>273</v>
      </c>
      <c r="I50" s="302">
        <f>+I51+I52+I53+I54+I55</f>
        <v>2798790408</v>
      </c>
      <c r="J50" s="302">
        <f>+J51+J52+J53+J54+J55</f>
        <v>300000</v>
      </c>
      <c r="K50" s="298">
        <f t="shared" si="10"/>
        <v>1.0718916255482608E-4</v>
      </c>
      <c r="L50" s="302">
        <f>+L51+L52+L53+L54+L55</f>
        <v>633374229</v>
      </c>
      <c r="M50" s="302">
        <f>+M51+M52+M53+M54+M55</f>
        <v>2165116179</v>
      </c>
      <c r="N50" s="302">
        <f>+N51+N52+N53+N54</f>
        <v>300000</v>
      </c>
      <c r="O50" s="299">
        <f t="shared" si="11"/>
        <v>1.0718916255482608E-4</v>
      </c>
      <c r="P50" s="302">
        <f>+P51+P52+P53+P54</f>
        <v>300000</v>
      </c>
      <c r="Q50" s="300">
        <f>+P50/I50</f>
        <v>1.0718916255482608E-4</v>
      </c>
      <c r="R50" s="200"/>
      <c r="AY50" s="240"/>
    </row>
    <row r="51" spans="1:51" x14ac:dyDescent="0.3">
      <c r="A51" s="265">
        <v>2</v>
      </c>
      <c r="B51" s="266">
        <v>2</v>
      </c>
      <c r="C51" s="266">
        <v>1</v>
      </c>
      <c r="D51" s="267">
        <v>4</v>
      </c>
      <c r="E51" s="267">
        <v>2</v>
      </c>
      <c r="F51" s="259"/>
      <c r="G51" s="259"/>
      <c r="H51" s="303" t="s">
        <v>114</v>
      </c>
      <c r="I51" s="281">
        <f>+'[2]EJ. DESAGREGADA'!T34</f>
        <v>8639</v>
      </c>
      <c r="J51" s="281">
        <f>+'[2]EJ. DESAGREGADA'!X34</f>
        <v>0</v>
      </c>
      <c r="K51" s="304">
        <f t="shared" si="10"/>
        <v>0</v>
      </c>
      <c r="L51" s="281">
        <f>+'[2]EJ. DESAGREGADA'!AB34-8639</f>
        <v>0</v>
      </c>
      <c r="M51" s="281">
        <f>+'[2]EJ. DESAGREGADA'!W34+8639</f>
        <v>8639</v>
      </c>
      <c r="N51" s="281">
        <f>+'[2]EJ. DESAGREGADA'!Y34</f>
        <v>0</v>
      </c>
      <c r="O51" s="305">
        <f t="shared" si="11"/>
        <v>0</v>
      </c>
      <c r="P51" s="281">
        <f>+'[2]EJ. DESAGREGADA'!AA34</f>
        <v>0</v>
      </c>
      <c r="Q51" s="306">
        <f t="shared" ref="Q51:Q54" si="13">+P51/I51</f>
        <v>0</v>
      </c>
    </row>
    <row r="52" spans="1:51" x14ac:dyDescent="0.3">
      <c r="A52" s="265">
        <v>2</v>
      </c>
      <c r="B52" s="266">
        <v>2</v>
      </c>
      <c r="C52" s="266">
        <v>1</v>
      </c>
      <c r="D52" s="267">
        <v>4</v>
      </c>
      <c r="E52" s="267">
        <v>6</v>
      </c>
      <c r="F52" s="259"/>
      <c r="G52" s="259"/>
      <c r="H52" s="303" t="s">
        <v>116</v>
      </c>
      <c r="I52" s="281">
        <f>+'[2]EJ. DESAGREGADA'!T35</f>
        <v>840189701</v>
      </c>
      <c r="J52" s="281">
        <f>+'[2]EJ. DESAGREGADA'!X35</f>
        <v>0</v>
      </c>
      <c r="K52" s="304">
        <f t="shared" si="10"/>
        <v>0</v>
      </c>
      <c r="L52" s="281">
        <f>+'[2]EJ. DESAGREGADA'!AB35-189701</f>
        <v>0</v>
      </c>
      <c r="M52" s="281">
        <f>+'[2]EJ. DESAGREGADA'!W35+189701</f>
        <v>840189701</v>
      </c>
      <c r="N52" s="281">
        <f>+'[2]EJ. DESAGREGADA'!Y35</f>
        <v>0</v>
      </c>
      <c r="O52" s="305">
        <f t="shared" si="11"/>
        <v>0</v>
      </c>
      <c r="P52" s="281">
        <f>+'[2]EJ. DESAGREGADA'!AA35</f>
        <v>0</v>
      </c>
      <c r="Q52" s="306">
        <f t="shared" si="13"/>
        <v>0</v>
      </c>
    </row>
    <row r="53" spans="1:51" ht="11.25" customHeight="1" x14ac:dyDescent="0.3">
      <c r="A53" s="265">
        <v>2</v>
      </c>
      <c r="B53" s="266">
        <v>2</v>
      </c>
      <c r="C53" s="266">
        <v>1</v>
      </c>
      <c r="D53" s="267">
        <v>4</v>
      </c>
      <c r="E53" s="267">
        <v>7</v>
      </c>
      <c r="F53" s="259"/>
      <c r="G53" s="259"/>
      <c r="H53" s="303" t="s">
        <v>118</v>
      </c>
      <c r="I53" s="281">
        <f>+'[2]EJ. DESAGREGADA'!T36</f>
        <v>1947301829</v>
      </c>
      <c r="J53" s="281">
        <f>+'[2]EJ. DESAGREGADA'!X36</f>
        <v>300000</v>
      </c>
      <c r="K53" s="304">
        <f t="shared" si="10"/>
        <v>1.5405932225414655E-4</v>
      </c>
      <c r="L53" s="281">
        <f>+'[2]EJ. DESAGREGADA'!AB36-10025366</f>
        <v>633374229</v>
      </c>
      <c r="M53" s="281">
        <f>+'[2]EJ. DESAGREGADA'!W36+10025366</f>
        <v>1313627600</v>
      </c>
      <c r="N53" s="281">
        <f>+'[2]EJ. DESAGREGADA'!Y36</f>
        <v>300000</v>
      </c>
      <c r="O53" s="305">
        <f t="shared" si="11"/>
        <v>1.5405932225414655E-4</v>
      </c>
      <c r="P53" s="281">
        <f>+'[2]EJ. DESAGREGADA'!AA36</f>
        <v>300000</v>
      </c>
      <c r="Q53" s="306">
        <f t="shared" si="13"/>
        <v>1.5405932225414655E-4</v>
      </c>
      <c r="R53" s="206"/>
    </row>
    <row r="54" spans="1:51" x14ac:dyDescent="0.3">
      <c r="A54" s="310">
        <v>2</v>
      </c>
      <c r="B54" s="311">
        <v>2</v>
      </c>
      <c r="C54" s="311">
        <v>1</v>
      </c>
      <c r="D54" s="312">
        <v>4</v>
      </c>
      <c r="E54" s="312">
        <v>8</v>
      </c>
      <c r="F54" s="259"/>
      <c r="G54" s="259"/>
      <c r="H54" s="303" t="s">
        <v>120</v>
      </c>
      <c r="I54" s="281">
        <f>+'[2]EJ. DESAGREGADA'!T37</f>
        <v>8290239</v>
      </c>
      <c r="J54" s="281">
        <f>+'[2]EJ. DESAGREGADA'!X37</f>
        <v>0</v>
      </c>
      <c r="K54" s="304">
        <f t="shared" si="10"/>
        <v>0</v>
      </c>
      <c r="L54" s="281">
        <f>+'[2]EJ. DESAGREGADA'!AB37-697950</f>
        <v>0</v>
      </c>
      <c r="M54" s="281">
        <f>+'[2]EJ. DESAGREGADA'!W37+697950</f>
        <v>8290239</v>
      </c>
      <c r="N54" s="281">
        <f>+'[2]EJ. DESAGREGADA'!Y37</f>
        <v>0</v>
      </c>
      <c r="O54" s="305">
        <f t="shared" si="11"/>
        <v>0</v>
      </c>
      <c r="P54" s="281">
        <f>+'[2]EJ. DESAGREGADA'!AA37</f>
        <v>0</v>
      </c>
      <c r="Q54" s="306">
        <f t="shared" si="13"/>
        <v>0</v>
      </c>
      <c r="R54" s="275"/>
    </row>
    <row r="55" spans="1:51" x14ac:dyDescent="0.3">
      <c r="A55" s="310">
        <v>2</v>
      </c>
      <c r="B55" s="311">
        <v>2</v>
      </c>
      <c r="C55" s="311">
        <v>1</v>
      </c>
      <c r="D55" s="312">
        <v>4</v>
      </c>
      <c r="E55" s="312">
        <v>9</v>
      </c>
      <c r="F55" s="259"/>
      <c r="G55" s="259"/>
      <c r="H55" s="303" t="s">
        <v>274</v>
      </c>
      <c r="I55" s="281">
        <f>+'[2]EJ. DESAGREGADA'!T38</f>
        <v>3000000</v>
      </c>
      <c r="J55" s="281">
        <f>+'[2]EJ. DESAGREGADA'!X38</f>
        <v>0</v>
      </c>
      <c r="K55" s="304"/>
      <c r="L55" s="281">
        <f>+'[2]EJ. DESAGREGADA'!AB38</f>
        <v>0</v>
      </c>
      <c r="M55" s="281">
        <f>+'[2]EJ. DESAGREGADA'!W38</f>
        <v>3000000</v>
      </c>
      <c r="N55" s="281">
        <f>+'[2]EJ. DESAGREGADA'!Y38</f>
        <v>0</v>
      </c>
      <c r="O55" s="305"/>
      <c r="P55" s="281">
        <f>+'[2]EJ. DESAGREGADA'!AA38</f>
        <v>0</v>
      </c>
      <c r="Q55" s="306"/>
      <c r="R55" s="275"/>
    </row>
    <row r="56" spans="1:51" s="239" customFormat="1" ht="32.4" x14ac:dyDescent="0.3">
      <c r="A56" s="307">
        <v>2</v>
      </c>
      <c r="B56" s="308">
        <v>2</v>
      </c>
      <c r="C56" s="308">
        <v>2</v>
      </c>
      <c r="D56" s="309">
        <v>6</v>
      </c>
      <c r="E56" s="259"/>
      <c r="F56" s="308"/>
      <c r="G56" s="308"/>
      <c r="H56" s="297" t="s">
        <v>275</v>
      </c>
      <c r="I56" s="301">
        <f>+I57+I58+I59+I60</f>
        <v>1601695417</v>
      </c>
      <c r="J56" s="301">
        <f>+J57+J58+J59+J60</f>
        <v>397837751.04999995</v>
      </c>
      <c r="K56" s="298">
        <f>+J56/I56</f>
        <v>0.24838539639150378</v>
      </c>
      <c r="L56" s="302">
        <f>+L57+L58+L59+L60</f>
        <v>206417290</v>
      </c>
      <c r="M56" s="302">
        <f>+M57+M58+M59+M60</f>
        <v>997440375.95000005</v>
      </c>
      <c r="N56" s="302">
        <f>+N57+N58+N59+N60</f>
        <v>42177696</v>
      </c>
      <c r="O56" s="299">
        <f>+N56/I56</f>
        <v>2.6333156449307615E-2</v>
      </c>
      <c r="P56" s="302">
        <f>+P57+P58+P59+P60</f>
        <v>42177696</v>
      </c>
      <c r="Q56" s="300">
        <f>+P56/I56</f>
        <v>2.6333156449307615E-2</v>
      </c>
      <c r="R56" s="200"/>
      <c r="AY56" s="240"/>
    </row>
    <row r="57" spans="1:51" x14ac:dyDescent="0.3">
      <c r="A57" s="265">
        <v>2</v>
      </c>
      <c r="B57" s="266">
        <v>2</v>
      </c>
      <c r="C57" s="266">
        <v>2</v>
      </c>
      <c r="D57" s="267">
        <v>6</v>
      </c>
      <c r="E57" s="267">
        <v>3</v>
      </c>
      <c r="F57" s="266"/>
      <c r="G57" s="266"/>
      <c r="H57" s="303" t="s">
        <v>122</v>
      </c>
      <c r="I57" s="281">
        <f>+'[2]EJ. DESAGREGADA'!T39</f>
        <v>51283597</v>
      </c>
      <c r="J57" s="281">
        <f>+'[2]EJ. DESAGREGADA'!X39</f>
        <v>15542198.77</v>
      </c>
      <c r="K57" s="304">
        <f t="shared" ref="K57:K59" si="14">+J57/I57</f>
        <v>0.30306374121924401</v>
      </c>
      <c r="L57" s="281">
        <f>+'[2]EJ. DESAGREGADA'!AB39-35741398.23</f>
        <v>0</v>
      </c>
      <c r="M57" s="281">
        <f>+'[2]EJ. DESAGREGADA'!W39+35741398.23</f>
        <v>35741398.229999997</v>
      </c>
      <c r="N57" s="281">
        <f>+'[2]EJ. DESAGREGADA'!Y39</f>
        <v>0</v>
      </c>
      <c r="O57" s="305">
        <f t="shared" ref="O57:O60" si="15">+N57/I57</f>
        <v>0</v>
      </c>
      <c r="P57" s="281">
        <f>+'[2]EJ. DESAGREGADA'!AA39</f>
        <v>0</v>
      </c>
      <c r="Q57" s="306">
        <f t="shared" ref="Q57:Q60" si="16">+P57/I57</f>
        <v>0</v>
      </c>
    </row>
    <row r="58" spans="1:51" x14ac:dyDescent="0.3">
      <c r="A58" s="310">
        <v>2</v>
      </c>
      <c r="B58" s="311">
        <v>2</v>
      </c>
      <c r="C58" s="311">
        <v>2</v>
      </c>
      <c r="D58" s="312">
        <v>6</v>
      </c>
      <c r="E58" s="312">
        <v>4</v>
      </c>
      <c r="F58" s="311"/>
      <c r="G58" s="311"/>
      <c r="H58" s="303" t="s">
        <v>124</v>
      </c>
      <c r="I58" s="281">
        <f>+'[2]EJ. DESAGREGADA'!T40</f>
        <v>1180083687</v>
      </c>
      <c r="J58" s="281">
        <f>+'[2]EJ. DESAGREGADA'!X40</f>
        <v>293254062.27999997</v>
      </c>
      <c r="K58" s="304">
        <f t="shared" si="14"/>
        <v>0.24850276765159621</v>
      </c>
      <c r="L58" s="281">
        <f>+'[2]EJ. DESAGREGADA'!AB40-573405535.72</f>
        <v>0</v>
      </c>
      <c r="M58" s="281">
        <f>+'[2]EJ. DESAGREGADA'!W40+573405535.72</f>
        <v>886829624.72000003</v>
      </c>
      <c r="N58" s="281">
        <f>+'[2]EJ. DESAGREGADA'!Y40</f>
        <v>4857136</v>
      </c>
      <c r="O58" s="305">
        <f t="shared" si="15"/>
        <v>4.1159250428652013E-3</v>
      </c>
      <c r="P58" s="281">
        <f>+'[2]EJ. DESAGREGADA'!AA40</f>
        <v>4857136</v>
      </c>
      <c r="Q58" s="306">
        <f t="shared" si="16"/>
        <v>4.1159250428652013E-3</v>
      </c>
      <c r="R58" s="206"/>
    </row>
    <row r="59" spans="1:51" x14ac:dyDescent="0.3">
      <c r="A59" s="265">
        <v>2</v>
      </c>
      <c r="B59" s="266">
        <v>2</v>
      </c>
      <c r="C59" s="266">
        <v>2</v>
      </c>
      <c r="D59" s="267">
        <v>6</v>
      </c>
      <c r="E59" s="267">
        <v>8</v>
      </c>
      <c r="F59" s="266"/>
      <c r="G59" s="266"/>
      <c r="H59" s="303" t="s">
        <v>126</v>
      </c>
      <c r="I59" s="281">
        <f>+'[2]EJ. DESAGREGADA'!T41</f>
        <v>130328133</v>
      </c>
      <c r="J59" s="281">
        <f>+'[2]EJ. DESAGREGADA'!X41</f>
        <v>55458780</v>
      </c>
      <c r="K59" s="304">
        <f t="shared" si="14"/>
        <v>0.42553191489361702</v>
      </c>
      <c r="L59" s="281">
        <f>+'[2]EJ. DESAGREGADA'!AB41-74869353</f>
        <v>0</v>
      </c>
      <c r="M59" s="281">
        <f>+'[2]EJ. DESAGREGADA'!W41+74869353</f>
        <v>74869353</v>
      </c>
      <c r="N59" s="281">
        <f>+'[2]EJ. DESAGREGADA'!Y41</f>
        <v>3737850</v>
      </c>
      <c r="O59" s="305">
        <f t="shared" si="15"/>
        <v>2.868030036154972E-2</v>
      </c>
      <c r="P59" s="281">
        <f>+'[2]EJ. DESAGREGADA'!AA41</f>
        <v>3737850</v>
      </c>
      <c r="Q59" s="306">
        <f t="shared" si="16"/>
        <v>2.868030036154972E-2</v>
      </c>
    </row>
    <row r="60" spans="1:51" x14ac:dyDescent="0.3">
      <c r="A60" s="265">
        <v>2</v>
      </c>
      <c r="B60" s="266">
        <v>2</v>
      </c>
      <c r="C60" s="266">
        <v>2</v>
      </c>
      <c r="D60" s="267">
        <v>6</v>
      </c>
      <c r="E60" s="267">
        <v>9</v>
      </c>
      <c r="F60" s="259"/>
      <c r="G60" s="259"/>
      <c r="H60" s="303" t="s">
        <v>128</v>
      </c>
      <c r="I60" s="281">
        <f>+'[2]EJ. DESAGREGADA'!T42</f>
        <v>240000000</v>
      </c>
      <c r="J60" s="281">
        <f>+'[2]EJ. DESAGREGADA'!X42</f>
        <v>33582710</v>
      </c>
      <c r="K60" s="304">
        <f>+J60/I60</f>
        <v>0.13992795833333332</v>
      </c>
      <c r="L60" s="281">
        <f>+'[2]EJ. DESAGREGADA'!AB42</f>
        <v>206417290</v>
      </c>
      <c r="M60" s="281">
        <f>+'[2]EJ. DESAGREGADA'!W42</f>
        <v>0</v>
      </c>
      <c r="N60" s="281">
        <f>+'[2]EJ. DESAGREGADA'!Y42</f>
        <v>33582710</v>
      </c>
      <c r="O60" s="305">
        <f t="shared" si="15"/>
        <v>0.13992795833333332</v>
      </c>
      <c r="P60" s="281">
        <f>+'[2]EJ. DESAGREGADA'!AA42</f>
        <v>33582710</v>
      </c>
      <c r="Q60" s="306">
        <f t="shared" si="16"/>
        <v>0.13992795833333332</v>
      </c>
      <c r="R60" s="275"/>
    </row>
    <row r="61" spans="1:51" s="239" customFormat="1" ht="21.6" x14ac:dyDescent="0.3">
      <c r="A61" s="307">
        <v>2</v>
      </c>
      <c r="B61" s="308">
        <v>2</v>
      </c>
      <c r="C61" s="308">
        <v>2</v>
      </c>
      <c r="D61" s="309">
        <v>7</v>
      </c>
      <c r="E61" s="259"/>
      <c r="F61" s="308"/>
      <c r="G61" s="259"/>
      <c r="H61" s="297" t="s">
        <v>276</v>
      </c>
      <c r="I61" s="302">
        <f t="shared" ref="I61:P61" si="17">+I62+I63+I64</f>
        <v>4722283835</v>
      </c>
      <c r="J61" s="302">
        <f t="shared" si="17"/>
        <v>2589699203.8800001</v>
      </c>
      <c r="K61" s="298">
        <f t="shared" si="1"/>
        <v>0.54839973503625716</v>
      </c>
      <c r="L61" s="302">
        <f>+L62+L63+L64</f>
        <v>24514756</v>
      </c>
      <c r="M61" s="302">
        <f t="shared" si="17"/>
        <v>2108069875.1199999</v>
      </c>
      <c r="N61" s="302">
        <f>+N62+N63+N64</f>
        <v>11525361.779999999</v>
      </c>
      <c r="O61" s="299">
        <f t="shared" si="2"/>
        <v>2.4406330035856472E-3</v>
      </c>
      <c r="P61" s="302">
        <f t="shared" si="17"/>
        <v>11525361.779999999</v>
      </c>
      <c r="Q61" s="300">
        <f t="shared" si="3"/>
        <v>2.4406330035856472E-3</v>
      </c>
      <c r="R61" s="200"/>
      <c r="AY61" s="240"/>
    </row>
    <row r="62" spans="1:51" x14ac:dyDescent="0.3">
      <c r="A62" s="265">
        <v>2</v>
      </c>
      <c r="B62" s="266">
        <v>2</v>
      </c>
      <c r="C62" s="266">
        <v>2</v>
      </c>
      <c r="D62" s="267">
        <v>7</v>
      </c>
      <c r="E62" s="267">
        <v>1</v>
      </c>
      <c r="F62" s="259"/>
      <c r="G62" s="259"/>
      <c r="H62" s="303" t="s">
        <v>130</v>
      </c>
      <c r="I62" s="281">
        <f>+'[2]EJ. DESAGREGADA'!T43</f>
        <v>2200000</v>
      </c>
      <c r="J62" s="281">
        <f>+'[2]EJ. DESAGREGADA'!X43</f>
        <v>200000</v>
      </c>
      <c r="K62" s="304">
        <f t="shared" si="1"/>
        <v>9.0909090909090912E-2</v>
      </c>
      <c r="L62" s="281">
        <f>+'[2]EJ. DESAGREGADA'!AB43-1800000</f>
        <v>0</v>
      </c>
      <c r="M62" s="281">
        <f>+'[2]EJ. DESAGREGADA'!W43+1800000</f>
        <v>2000000</v>
      </c>
      <c r="N62" s="281">
        <f>+'[2]EJ. DESAGREGADA'!Y43</f>
        <v>200000</v>
      </c>
      <c r="O62" s="305">
        <f t="shared" si="2"/>
        <v>9.0909090909090912E-2</v>
      </c>
      <c r="P62" s="281">
        <f>+'[2]EJ. DESAGREGADA'!AA43</f>
        <v>200000</v>
      </c>
      <c r="Q62" s="306">
        <f t="shared" si="3"/>
        <v>9.0909090909090912E-2</v>
      </c>
      <c r="S62" s="314"/>
    </row>
    <row r="63" spans="1:51" x14ac:dyDescent="0.3">
      <c r="A63" s="265">
        <v>2</v>
      </c>
      <c r="B63" s="266">
        <v>2</v>
      </c>
      <c r="C63" s="266">
        <v>2</v>
      </c>
      <c r="D63" s="267">
        <v>7</v>
      </c>
      <c r="E63" s="267">
        <v>2</v>
      </c>
      <c r="F63" s="259"/>
      <c r="G63" s="259"/>
      <c r="H63" s="303" t="s">
        <v>132</v>
      </c>
      <c r="I63" s="281">
        <f>+'[2]EJ. DESAGREGADA'!T44</f>
        <v>4549088000</v>
      </c>
      <c r="J63" s="281">
        <f>+'[2]EJ. DESAGREGADA'!X44</f>
        <v>2520000000</v>
      </c>
      <c r="K63" s="304">
        <f t="shared" si="1"/>
        <v>0.55395718878157552</v>
      </c>
      <c r="L63" s="281">
        <f>+'[2]EJ. DESAGREGADA'!AB44-2029088000</f>
        <v>0</v>
      </c>
      <c r="M63" s="281">
        <f>+'[2]EJ. DESAGREGADA'!W44+2029088000</f>
        <v>2029088000</v>
      </c>
      <c r="N63" s="281">
        <f>+'[2]EJ. DESAGREGADA'!Y44</f>
        <v>0</v>
      </c>
      <c r="O63" s="305">
        <f t="shared" si="2"/>
        <v>0</v>
      </c>
      <c r="P63" s="281">
        <f>+'[2]EJ. DESAGREGADA'!AA44</f>
        <v>0</v>
      </c>
      <c r="Q63" s="306">
        <f t="shared" si="3"/>
        <v>0</v>
      </c>
      <c r="S63" s="314"/>
    </row>
    <row r="64" spans="1:51" x14ac:dyDescent="0.3">
      <c r="A64" s="265">
        <v>2</v>
      </c>
      <c r="B64" s="266">
        <v>2</v>
      </c>
      <c r="C64" s="266">
        <v>2</v>
      </c>
      <c r="D64" s="267">
        <v>7</v>
      </c>
      <c r="E64" s="267">
        <v>3</v>
      </c>
      <c r="F64" s="259"/>
      <c r="G64" s="259"/>
      <c r="H64" s="303" t="s">
        <v>134</v>
      </c>
      <c r="I64" s="281">
        <f>+'[2]EJ. DESAGREGADA'!T45</f>
        <v>170995835</v>
      </c>
      <c r="J64" s="281">
        <f>+'[2]EJ. DESAGREGADA'!X45</f>
        <v>69499203.879999995</v>
      </c>
      <c r="K64" s="304">
        <f t="shared" si="1"/>
        <v>0.40643799236396605</v>
      </c>
      <c r="L64" s="281">
        <f>+'[2]EJ. DESAGREGADA'!AB45-11161379.12</f>
        <v>24514756</v>
      </c>
      <c r="M64" s="281">
        <f>+'[2]EJ. DESAGREGADA'!W45+11161379.12</f>
        <v>76981875.120000005</v>
      </c>
      <c r="N64" s="281">
        <f>+'[2]EJ. DESAGREGADA'!Y45</f>
        <v>11325361.779999999</v>
      </c>
      <c r="O64" s="305">
        <f t="shared" si="2"/>
        <v>6.6231799037678313E-2</v>
      </c>
      <c r="P64" s="281">
        <f>+'[2]EJ. DESAGREGADA'!AA45</f>
        <v>11325361.779999999</v>
      </c>
      <c r="Q64" s="306">
        <f t="shared" si="3"/>
        <v>6.6231799037678313E-2</v>
      </c>
      <c r="R64" s="275"/>
      <c r="S64" s="314"/>
    </row>
    <row r="65" spans="1:51" s="239" customFormat="1" x14ac:dyDescent="0.3">
      <c r="A65" s="307">
        <v>2</v>
      </c>
      <c r="B65" s="308">
        <v>2</v>
      </c>
      <c r="C65" s="308">
        <v>2</v>
      </c>
      <c r="D65" s="309">
        <v>8</v>
      </c>
      <c r="E65" s="259"/>
      <c r="F65" s="308"/>
      <c r="G65" s="259"/>
      <c r="H65" s="297" t="s">
        <v>277</v>
      </c>
      <c r="I65" s="302">
        <f t="shared" ref="I65:P65" si="18">+I66+I67+I68+I69+I70+I71</f>
        <v>160015537597</v>
      </c>
      <c r="J65" s="302">
        <f t="shared" si="18"/>
        <v>96418854604.110001</v>
      </c>
      <c r="K65" s="298">
        <f t="shared" si="1"/>
        <v>0.60255932675076473</v>
      </c>
      <c r="L65" s="302">
        <f>+L66+L67+L68+L69+L70+L71</f>
        <v>7145939423.4099998</v>
      </c>
      <c r="M65" s="302">
        <f>+M66+M67+M68+M69+M70+M71</f>
        <v>56450743569.480003</v>
      </c>
      <c r="N65" s="302">
        <f>+N66+N67+N68+N69+N70+N71</f>
        <v>297356366.25</v>
      </c>
      <c r="O65" s="299">
        <f t="shared" si="2"/>
        <v>1.8582968298921922E-3</v>
      </c>
      <c r="P65" s="302">
        <f t="shared" si="18"/>
        <v>297356366.25</v>
      </c>
      <c r="Q65" s="300">
        <f t="shared" si="3"/>
        <v>1.8582968298921922E-3</v>
      </c>
      <c r="R65" s="275"/>
      <c r="AY65" s="240"/>
    </row>
    <row r="66" spans="1:51" x14ac:dyDescent="0.3">
      <c r="A66" s="310">
        <v>2</v>
      </c>
      <c r="B66" s="311">
        <v>2</v>
      </c>
      <c r="C66" s="311">
        <v>2</v>
      </c>
      <c r="D66" s="312">
        <v>8</v>
      </c>
      <c r="E66" s="312">
        <v>2</v>
      </c>
      <c r="F66" s="311"/>
      <c r="G66" s="315"/>
      <c r="H66" s="303" t="s">
        <v>136</v>
      </c>
      <c r="I66" s="281">
        <f>+'[2]EJ. DESAGREGADA'!T46</f>
        <v>127646176072</v>
      </c>
      <c r="J66" s="281">
        <f>+'[2]EJ. DESAGREGADA'!X46</f>
        <v>88131726685.330002</v>
      </c>
      <c r="K66" s="304">
        <f t="shared" si="1"/>
        <v>0.69043765663311751</v>
      </c>
      <c r="L66" s="281">
        <f>+'[2]EJ. DESAGREGADA'!AB46-26881973847.67</f>
        <v>3367732500</v>
      </c>
      <c r="M66" s="281">
        <f>+'[2]EJ. DESAGREGADA'!W46+26881973847.67</f>
        <v>36146716886.669998</v>
      </c>
      <c r="N66" s="281">
        <f>+'[2]EJ. DESAGREGADA'!Y46</f>
        <v>157673299.53999999</v>
      </c>
      <c r="O66" s="305">
        <f t="shared" si="2"/>
        <v>1.2352371562706502E-3</v>
      </c>
      <c r="P66" s="281">
        <f>+'[2]EJ. DESAGREGADA'!AA46</f>
        <v>157673299.53999999</v>
      </c>
      <c r="Q66" s="306">
        <f t="shared" si="3"/>
        <v>1.2352371562706502E-3</v>
      </c>
      <c r="R66" s="206"/>
    </row>
    <row r="67" spans="1:51" ht="21.6" x14ac:dyDescent="0.3">
      <c r="A67" s="265">
        <v>2</v>
      </c>
      <c r="B67" s="266">
        <v>2</v>
      </c>
      <c r="C67" s="266">
        <v>2</v>
      </c>
      <c r="D67" s="267">
        <v>8</v>
      </c>
      <c r="E67" s="267">
        <v>3</v>
      </c>
      <c r="F67" s="266"/>
      <c r="G67" s="315"/>
      <c r="H67" s="303" t="s">
        <v>138</v>
      </c>
      <c r="I67" s="281">
        <f>+'[2]EJ. DESAGREGADA'!T47</f>
        <v>24108499821</v>
      </c>
      <c r="J67" s="281">
        <f>+'[2]EJ. DESAGREGADA'!X47</f>
        <v>6422544488.2299995</v>
      </c>
      <c r="K67" s="304">
        <f t="shared" si="1"/>
        <v>0.26640166480352978</v>
      </c>
      <c r="L67" s="281">
        <f>+'[2]EJ. DESAGREGADA'!AB47-1886930642.77</f>
        <v>2366159859</v>
      </c>
      <c r="M67" s="281">
        <f>+'[2]EJ. DESAGREGADA'!W47+1886930642.77</f>
        <v>15319795473.77</v>
      </c>
      <c r="N67" s="281">
        <f>+'[2]EJ. DESAGREGADA'!Y47</f>
        <v>99946805.030000001</v>
      </c>
      <c r="O67" s="305">
        <f t="shared" si="2"/>
        <v>4.1457081847515098E-3</v>
      </c>
      <c r="P67" s="281">
        <f>+'[2]EJ. DESAGREGADA'!AA47</f>
        <v>99946805.030000001</v>
      </c>
      <c r="Q67" s="306">
        <f t="shared" si="3"/>
        <v>4.1457081847515098E-3</v>
      </c>
    </row>
    <row r="68" spans="1:51" x14ac:dyDescent="0.3">
      <c r="A68" s="265">
        <v>2</v>
      </c>
      <c r="B68" s="266">
        <v>2</v>
      </c>
      <c r="C68" s="266">
        <v>2</v>
      </c>
      <c r="D68" s="267">
        <v>8</v>
      </c>
      <c r="E68" s="267">
        <v>4</v>
      </c>
      <c r="F68" s="259"/>
      <c r="G68" s="259"/>
      <c r="H68" s="303" t="s">
        <v>140</v>
      </c>
      <c r="I68" s="281">
        <f>+'[2]EJ. DESAGREGADA'!T48</f>
        <v>777661639</v>
      </c>
      <c r="J68" s="281">
        <f>+'[2]EJ. DESAGREGADA'!X48</f>
        <v>297743407</v>
      </c>
      <c r="K68" s="304">
        <f t="shared" si="1"/>
        <v>0.38287012251609853</v>
      </c>
      <c r="L68" s="281">
        <f>+'[2]EJ. DESAGREGADA'!AB48-104811076</f>
        <v>313365344</v>
      </c>
      <c r="M68" s="281">
        <f>+'[2]EJ. DESAGREGADA'!W48+104811076</f>
        <v>166552888</v>
      </c>
      <c r="N68" s="281">
        <f>+'[2]EJ. DESAGREGADA'!Y48</f>
        <v>12883935.130000001</v>
      </c>
      <c r="O68" s="305">
        <f t="shared" si="2"/>
        <v>1.6567533338236323E-2</v>
      </c>
      <c r="P68" s="281">
        <f>+'[2]EJ. DESAGREGADA'!AA48</f>
        <v>12883935.130000001</v>
      </c>
      <c r="Q68" s="306">
        <f t="shared" si="3"/>
        <v>1.6567533338236323E-2</v>
      </c>
    </row>
    <row r="69" spans="1:51" x14ac:dyDescent="0.3">
      <c r="A69" s="265">
        <v>2</v>
      </c>
      <c r="B69" s="266">
        <v>2</v>
      </c>
      <c r="C69" s="266">
        <v>2</v>
      </c>
      <c r="D69" s="267">
        <v>8</v>
      </c>
      <c r="E69" s="267">
        <v>5</v>
      </c>
      <c r="F69" s="259"/>
      <c r="G69" s="259"/>
      <c r="H69" s="303" t="s">
        <v>142</v>
      </c>
      <c r="I69" s="281">
        <f>+'[2]EJ. DESAGREGADA'!T49</f>
        <v>7439106215</v>
      </c>
      <c r="J69" s="281">
        <f>+'[2]EJ. DESAGREGADA'!X49</f>
        <v>1527286523.55</v>
      </c>
      <c r="K69" s="304">
        <f t="shared" si="1"/>
        <v>0.20530511050782194</v>
      </c>
      <c r="L69" s="281">
        <f>+'[2]EJ. DESAGREGADA'!AB49-228360803.83</f>
        <v>1096780220.4100001</v>
      </c>
      <c r="M69" s="281">
        <f>+'[2]EJ. DESAGREGADA'!W49+228360803.83</f>
        <v>4815039471.04</v>
      </c>
      <c r="N69" s="281">
        <f>+'[2]EJ. DESAGREGADA'!Y49</f>
        <v>26152326.550000001</v>
      </c>
      <c r="O69" s="305">
        <f t="shared" si="2"/>
        <v>3.5155199823961648E-3</v>
      </c>
      <c r="P69" s="281">
        <f>+'[2]EJ. DESAGREGADA'!AA49</f>
        <v>26152326.550000001</v>
      </c>
      <c r="Q69" s="306">
        <f t="shared" si="3"/>
        <v>3.5155199823961648E-3</v>
      </c>
    </row>
    <row r="70" spans="1:51" ht="21.6" x14ac:dyDescent="0.3">
      <c r="A70" s="265">
        <v>2</v>
      </c>
      <c r="B70" s="266">
        <v>2</v>
      </c>
      <c r="C70" s="266">
        <v>2</v>
      </c>
      <c r="D70" s="267">
        <v>8</v>
      </c>
      <c r="E70" s="267">
        <v>7</v>
      </c>
      <c r="F70" s="259"/>
      <c r="G70" s="259"/>
      <c r="H70" s="303" t="s">
        <v>144</v>
      </c>
      <c r="I70" s="281">
        <f>+'[2]EJ. DESAGREGADA'!T50</f>
        <v>2093850</v>
      </c>
      <c r="J70" s="281">
        <f>+'[2]EJ. DESAGREGADA'!X50</f>
        <v>0</v>
      </c>
      <c r="K70" s="304">
        <f t="shared" si="1"/>
        <v>0</v>
      </c>
      <c r="L70" s="281">
        <f>+'[2]EJ. DESAGREGADA'!AB50-1338850</f>
        <v>755000</v>
      </c>
      <c r="M70" s="281">
        <f>+'[2]EJ. DESAGREGADA'!W50+1338850</f>
        <v>1338850</v>
      </c>
      <c r="N70" s="281">
        <f>+'[2]EJ. DESAGREGADA'!Y50</f>
        <v>0</v>
      </c>
      <c r="O70" s="305">
        <f t="shared" si="2"/>
        <v>0</v>
      </c>
      <c r="P70" s="281">
        <f>+'[2]EJ. DESAGREGADA'!AA50</f>
        <v>0</v>
      </c>
      <c r="Q70" s="306">
        <f t="shared" si="3"/>
        <v>0</v>
      </c>
    </row>
    <row r="71" spans="1:51" ht="21.6" x14ac:dyDescent="0.3">
      <c r="A71" s="265">
        <v>2</v>
      </c>
      <c r="B71" s="266">
        <v>2</v>
      </c>
      <c r="C71" s="266">
        <v>2</v>
      </c>
      <c r="D71" s="267">
        <v>8</v>
      </c>
      <c r="E71" s="267">
        <v>9</v>
      </c>
      <c r="F71" s="259"/>
      <c r="G71" s="259"/>
      <c r="H71" s="303" t="s">
        <v>146</v>
      </c>
      <c r="I71" s="281">
        <f>+'[2]EJ. DESAGREGADA'!T51</f>
        <v>42000000</v>
      </c>
      <c r="J71" s="281">
        <f>+'[2]EJ. DESAGREGADA'!X51</f>
        <v>39553500</v>
      </c>
      <c r="K71" s="304">
        <f t="shared" si="1"/>
        <v>0.94174999999999998</v>
      </c>
      <c r="L71" s="281">
        <f>+'[2]EJ. DESAGREGADA'!AB51-1300000</f>
        <v>1146500</v>
      </c>
      <c r="M71" s="281">
        <f>+'[2]EJ. DESAGREGADA'!W51+1300000</f>
        <v>1300000</v>
      </c>
      <c r="N71" s="281">
        <f>+'[2]EJ. DESAGREGADA'!Y51</f>
        <v>700000</v>
      </c>
      <c r="O71" s="305">
        <f t="shared" si="2"/>
        <v>1.6666666666666666E-2</v>
      </c>
      <c r="P71" s="281">
        <f>+'[2]EJ. DESAGREGADA'!AA51</f>
        <v>700000</v>
      </c>
      <c r="Q71" s="306">
        <f t="shared" si="3"/>
        <v>1.6666666666666666E-2</v>
      </c>
      <c r="R71" s="275"/>
    </row>
    <row r="72" spans="1:51" s="239" customFormat="1" x14ac:dyDescent="0.3">
      <c r="A72" s="307">
        <v>2</v>
      </c>
      <c r="B72" s="308">
        <v>2</v>
      </c>
      <c r="C72" s="308">
        <v>2</v>
      </c>
      <c r="D72" s="309">
        <v>9</v>
      </c>
      <c r="E72" s="309"/>
      <c r="F72" s="259"/>
      <c r="G72" s="259"/>
      <c r="H72" s="297" t="s">
        <v>278</v>
      </c>
      <c r="I72" s="302">
        <f t="shared" ref="I72:P72" si="19">+I73+I74+I75+I76</f>
        <v>483578811</v>
      </c>
      <c r="J72" s="302">
        <f t="shared" si="19"/>
        <v>4855203</v>
      </c>
      <c r="K72" s="298">
        <f t="shared" si="1"/>
        <v>1.0040148347194642E-2</v>
      </c>
      <c r="L72" s="302">
        <f>+L73+L74+L75+L76</f>
        <v>353473608</v>
      </c>
      <c r="M72" s="302">
        <f t="shared" si="19"/>
        <v>125250000</v>
      </c>
      <c r="N72" s="302">
        <f>+N73+N74+N75+N76</f>
        <v>1408980</v>
      </c>
      <c r="O72" s="299">
        <f t="shared" si="2"/>
        <v>2.9136512352275087E-3</v>
      </c>
      <c r="P72" s="302">
        <f t="shared" si="19"/>
        <v>1408980</v>
      </c>
      <c r="Q72" s="300">
        <f t="shared" si="3"/>
        <v>2.9136512352275087E-3</v>
      </c>
      <c r="R72" s="200"/>
      <c r="S72" s="287"/>
      <c r="AY72" s="240"/>
    </row>
    <row r="73" spans="1:51" x14ac:dyDescent="0.3">
      <c r="A73" s="265">
        <v>2</v>
      </c>
      <c r="B73" s="266">
        <v>2</v>
      </c>
      <c r="C73" s="266">
        <v>2</v>
      </c>
      <c r="D73" s="267">
        <v>9</v>
      </c>
      <c r="E73" s="267">
        <v>2</v>
      </c>
      <c r="F73" s="259"/>
      <c r="G73" s="259"/>
      <c r="H73" s="303" t="s">
        <v>148</v>
      </c>
      <c r="I73" s="281">
        <f>+'[2]EJ. DESAGREGADA'!T52</f>
        <v>130000000</v>
      </c>
      <c r="J73" s="281">
        <f>+'[2]EJ. DESAGREGADA'!X52</f>
        <v>0</v>
      </c>
      <c r="K73" s="304">
        <f t="shared" si="1"/>
        <v>0</v>
      </c>
      <c r="L73" s="281">
        <f>+'[2]EJ. DESAGREGADA'!AB52-125250000</f>
        <v>4750000</v>
      </c>
      <c r="M73" s="281">
        <f>+'[2]EJ. DESAGREGADA'!W52+125250000</f>
        <v>125250000</v>
      </c>
      <c r="N73" s="281">
        <f>+'[2]EJ. DESAGREGADA'!Y52</f>
        <v>0</v>
      </c>
      <c r="O73" s="305">
        <f t="shared" si="2"/>
        <v>0</v>
      </c>
      <c r="P73" s="281">
        <f>+'[2]EJ. DESAGREGADA'!AA52</f>
        <v>0</v>
      </c>
      <c r="Q73" s="306">
        <f t="shared" si="3"/>
        <v>0</v>
      </c>
      <c r="S73" s="248"/>
    </row>
    <row r="74" spans="1:51" x14ac:dyDescent="0.3">
      <c r="A74" s="265">
        <v>2</v>
      </c>
      <c r="B74" s="266">
        <v>2</v>
      </c>
      <c r="C74" s="266">
        <v>2</v>
      </c>
      <c r="D74" s="267">
        <v>9</v>
      </c>
      <c r="E74" s="267">
        <v>3</v>
      </c>
      <c r="F74" s="259"/>
      <c r="G74" s="259"/>
      <c r="H74" s="303" t="s">
        <v>150</v>
      </c>
      <c r="I74" s="281">
        <f>+'[2]EJ. DESAGREGADA'!T53</f>
        <v>31178811</v>
      </c>
      <c r="J74" s="281">
        <f>+'[2]EJ. DESAGREGADA'!X53</f>
        <v>4675323</v>
      </c>
      <c r="K74" s="304">
        <f t="shared" ref="K74:K77" si="20">+J74/I74</f>
        <v>0.14995193370266749</v>
      </c>
      <c r="L74" s="281">
        <f>+'[2]EJ. DESAGREGADA'!AB53</f>
        <v>26503488</v>
      </c>
      <c r="M74" s="281">
        <f>+'[2]EJ. DESAGREGADA'!W53</f>
        <v>0</v>
      </c>
      <c r="N74" s="281">
        <f>+'[2]EJ. DESAGREGADA'!Y53</f>
        <v>1229100</v>
      </c>
      <c r="O74" s="305">
        <f t="shared" ref="O74:O77" si="21">+N74/I74</f>
        <v>3.9421002936898396E-2</v>
      </c>
      <c r="P74" s="281">
        <f>+'[2]EJ. DESAGREGADA'!AA53</f>
        <v>1229100</v>
      </c>
      <c r="Q74" s="306">
        <f t="shared" ref="Q74:Q77" si="22">+P74/I74</f>
        <v>3.9421002936898396E-2</v>
      </c>
      <c r="S74" s="248"/>
    </row>
    <row r="75" spans="1:51" ht="21.6" x14ac:dyDescent="0.3">
      <c r="A75" s="265">
        <v>2</v>
      </c>
      <c r="B75" s="266">
        <v>2</v>
      </c>
      <c r="C75" s="266">
        <v>2</v>
      </c>
      <c r="D75" s="267">
        <v>9</v>
      </c>
      <c r="E75" s="267">
        <v>4</v>
      </c>
      <c r="F75" s="259"/>
      <c r="G75" s="259"/>
      <c r="H75" s="303" t="s">
        <v>152</v>
      </c>
      <c r="I75" s="281">
        <f>+'[2]EJ. DESAGREGADA'!T54</f>
        <v>2400000</v>
      </c>
      <c r="J75" s="281">
        <f>+'[2]EJ. DESAGREGADA'!X54</f>
        <v>179880</v>
      </c>
      <c r="K75" s="304">
        <f t="shared" si="20"/>
        <v>7.4950000000000003E-2</v>
      </c>
      <c r="L75" s="281">
        <f>+'[2]EJ. DESAGREGADA'!AB54</f>
        <v>2220120</v>
      </c>
      <c r="M75" s="281">
        <f>+'[2]EJ. DESAGREGADA'!W54</f>
        <v>0</v>
      </c>
      <c r="N75" s="281">
        <f>+'[2]EJ. DESAGREGADA'!Y54</f>
        <v>179880</v>
      </c>
      <c r="O75" s="305">
        <f t="shared" si="21"/>
        <v>7.4950000000000003E-2</v>
      </c>
      <c r="P75" s="281">
        <f>+'[2]EJ. DESAGREGADA'!AA54</f>
        <v>179880</v>
      </c>
      <c r="Q75" s="306">
        <f t="shared" si="22"/>
        <v>7.4950000000000003E-2</v>
      </c>
      <c r="S75" s="248"/>
    </row>
    <row r="76" spans="1:51" x14ac:dyDescent="0.3">
      <c r="A76" s="265">
        <v>2</v>
      </c>
      <c r="B76" s="266">
        <v>2</v>
      </c>
      <c r="C76" s="266">
        <v>2</v>
      </c>
      <c r="D76" s="267">
        <v>9</v>
      </c>
      <c r="E76" s="267">
        <v>6</v>
      </c>
      <c r="F76" s="259"/>
      <c r="G76" s="259"/>
      <c r="H76" s="303" t="s">
        <v>154</v>
      </c>
      <c r="I76" s="281">
        <f>+'[2]EJ. DESAGREGADA'!T55</f>
        <v>320000000</v>
      </c>
      <c r="J76" s="281">
        <f>+'[2]EJ. DESAGREGADA'!X55</f>
        <v>0</v>
      </c>
      <c r="K76" s="304">
        <f t="shared" si="20"/>
        <v>0</v>
      </c>
      <c r="L76" s="281">
        <f>+'[2]EJ. DESAGREGADA'!AB55</f>
        <v>320000000</v>
      </c>
      <c r="M76" s="281">
        <f>+'[2]EJ. DESAGREGADA'!W55</f>
        <v>0</v>
      </c>
      <c r="N76" s="281">
        <f>+'[2]EJ. DESAGREGADA'!Y55</f>
        <v>0</v>
      </c>
      <c r="O76" s="305">
        <f t="shared" si="21"/>
        <v>0</v>
      </c>
      <c r="P76" s="281">
        <f>+'[2]EJ. DESAGREGADA'!AA55</f>
        <v>0</v>
      </c>
      <c r="Q76" s="306">
        <f t="shared" si="22"/>
        <v>0</v>
      </c>
      <c r="R76" s="275"/>
      <c r="S76" s="248"/>
    </row>
    <row r="77" spans="1:51" s="239" customFormat="1" x14ac:dyDescent="0.3">
      <c r="A77" s="307">
        <v>2</v>
      </c>
      <c r="B77" s="308">
        <v>2</v>
      </c>
      <c r="C77" s="308">
        <v>2</v>
      </c>
      <c r="D77" s="309">
        <v>10</v>
      </c>
      <c r="E77" s="259"/>
      <c r="F77" s="259"/>
      <c r="G77" s="259"/>
      <c r="H77" s="316" t="s">
        <v>156</v>
      </c>
      <c r="I77" s="302">
        <f>+'[2]EJ. DESAGREGADA'!T56</f>
        <v>550000000</v>
      </c>
      <c r="J77" s="302">
        <f>+'[2]EJ. DESAGREGADA'!X56</f>
        <v>5423224</v>
      </c>
      <c r="K77" s="298">
        <f t="shared" si="20"/>
        <v>9.8604072727272729E-3</v>
      </c>
      <c r="L77" s="302">
        <f>+'[2]EJ. DESAGREGADA'!AB56</f>
        <v>544576776</v>
      </c>
      <c r="M77" s="281">
        <f>+'[2]EJ. DESAGREGADA'!W56</f>
        <v>0</v>
      </c>
      <c r="N77" s="302">
        <f>+'[2]EJ. DESAGREGADA'!Y56</f>
        <v>5423224</v>
      </c>
      <c r="O77" s="299">
        <f t="shared" si="21"/>
        <v>9.8604072727272729E-3</v>
      </c>
      <c r="P77" s="302">
        <f>+'[2]EJ. DESAGREGADA'!AA56</f>
        <v>5423224</v>
      </c>
      <c r="Q77" s="300">
        <f t="shared" si="22"/>
        <v>9.8604072727272729E-3</v>
      </c>
      <c r="R77" s="275"/>
      <c r="AY77" s="240"/>
    </row>
    <row r="78" spans="1:51" s="239" customFormat="1" x14ac:dyDescent="0.3">
      <c r="A78" s="230" t="s">
        <v>77</v>
      </c>
      <c r="B78" s="231" t="s">
        <v>1</v>
      </c>
      <c r="C78" s="232" t="s">
        <v>1</v>
      </c>
      <c r="D78" s="231" t="s">
        <v>1</v>
      </c>
      <c r="E78" s="232"/>
      <c r="F78" s="231"/>
      <c r="G78" s="231"/>
      <c r="H78" s="233" t="s">
        <v>227</v>
      </c>
      <c r="I78" s="234">
        <f>+I79+I82+I86</f>
        <v>2578124000</v>
      </c>
      <c r="J78" s="234">
        <f>+J79+J82+J86</f>
        <v>2106370044</v>
      </c>
      <c r="K78" s="235">
        <f>+J78/I78</f>
        <v>0.81701657639430847</v>
      </c>
      <c r="L78" s="234">
        <f t="shared" ref="L78:Q78" si="23">+L79+L82+L86</f>
        <v>274753956</v>
      </c>
      <c r="M78" s="234">
        <f t="shared" si="23"/>
        <v>197000000</v>
      </c>
      <c r="N78" s="234">
        <f t="shared" si="23"/>
        <v>136069996.15000001</v>
      </c>
      <c r="O78" s="236">
        <f t="shared" si="23"/>
        <v>0.14825507863870058</v>
      </c>
      <c r="P78" s="234">
        <f t="shared" si="23"/>
        <v>136069996.15000001</v>
      </c>
      <c r="Q78" s="237">
        <f t="shared" si="23"/>
        <v>0.14825507863870058</v>
      </c>
      <c r="R78" s="292"/>
      <c r="AY78" s="240"/>
    </row>
    <row r="79" spans="1:51" s="325" customFormat="1" x14ac:dyDescent="0.3">
      <c r="A79" s="282" t="s">
        <v>77</v>
      </c>
      <c r="B79" s="283">
        <v>3</v>
      </c>
      <c r="C79" s="250" t="s">
        <v>1</v>
      </c>
      <c r="D79" s="250" t="s">
        <v>1</v>
      </c>
      <c r="E79" s="317"/>
      <c r="F79" s="317"/>
      <c r="G79" s="317"/>
      <c r="H79" s="251" t="s">
        <v>279</v>
      </c>
      <c r="I79" s="318">
        <f>+I80</f>
        <v>2181124000</v>
      </c>
      <c r="J79" s="318">
        <f t="shared" ref="J79:N79" si="24">+J80</f>
        <v>2065741685</v>
      </c>
      <c r="K79" s="319">
        <f t="shared" ref="K79:K90" si="25">+J79/I79</f>
        <v>0.94709960781688707</v>
      </c>
      <c r="L79" s="318">
        <f>+L80</f>
        <v>35382315</v>
      </c>
      <c r="M79" s="318">
        <f>+M80</f>
        <v>80000000</v>
      </c>
      <c r="N79" s="318">
        <f t="shared" si="24"/>
        <v>108485283.15000001</v>
      </c>
      <c r="O79" s="320">
        <f>+N79/I79</f>
        <v>4.9738246495843429E-2</v>
      </c>
      <c r="P79" s="318">
        <f>+P80</f>
        <v>108485283.15000001</v>
      </c>
      <c r="Q79" s="321">
        <f t="shared" ref="Q79:Q90" si="26">+P79/I79</f>
        <v>4.9738246495843429E-2</v>
      </c>
      <c r="R79" s="292"/>
      <c r="S79" s="322"/>
      <c r="T79" s="322"/>
      <c r="U79" s="322"/>
      <c r="V79" s="322"/>
      <c r="W79" s="322"/>
      <c r="X79" s="322"/>
      <c r="Y79" s="322"/>
      <c r="Z79" s="322"/>
      <c r="AA79" s="323"/>
      <c r="AB79" s="323"/>
      <c r="AC79" s="323"/>
      <c r="AD79" s="323"/>
      <c r="AE79" s="323"/>
      <c r="AF79" s="323"/>
      <c r="AG79" s="323"/>
      <c r="AH79" s="323"/>
      <c r="AI79" s="323"/>
      <c r="AJ79" s="323"/>
      <c r="AK79" s="324"/>
      <c r="AY79" s="326"/>
    </row>
    <row r="80" spans="1:51" s="325" customFormat="1" x14ac:dyDescent="0.3">
      <c r="A80" s="256" t="s">
        <v>77</v>
      </c>
      <c r="B80" s="257">
        <v>3</v>
      </c>
      <c r="C80" s="257">
        <v>1</v>
      </c>
      <c r="D80" s="276" t="s">
        <v>1</v>
      </c>
      <c r="E80" s="276"/>
      <c r="F80" s="296"/>
      <c r="G80" s="296"/>
      <c r="H80" s="297" t="s">
        <v>280</v>
      </c>
      <c r="I80" s="261">
        <f>+I81</f>
        <v>2181124000</v>
      </c>
      <c r="J80" s="261">
        <f>+J81</f>
        <v>2065741685</v>
      </c>
      <c r="K80" s="291">
        <f t="shared" si="25"/>
        <v>0.94709960781688707</v>
      </c>
      <c r="L80" s="261">
        <f>+L81</f>
        <v>35382315</v>
      </c>
      <c r="M80" s="261">
        <f>+M81</f>
        <v>80000000</v>
      </c>
      <c r="N80" s="261">
        <f>+N81</f>
        <v>108485283.15000001</v>
      </c>
      <c r="O80" s="263">
        <f t="shared" ref="O80:O113" si="27">+N80/I80</f>
        <v>4.9738246495843429E-2</v>
      </c>
      <c r="P80" s="261">
        <f>+P81</f>
        <v>108485283.15000001</v>
      </c>
      <c r="Q80" s="264">
        <f t="shared" si="26"/>
        <v>4.9738246495843429E-2</v>
      </c>
      <c r="R80" s="292"/>
      <c r="S80" s="322"/>
      <c r="T80" s="322"/>
      <c r="U80" s="322"/>
      <c r="V80" s="322"/>
      <c r="W80" s="322"/>
      <c r="X80" s="322"/>
      <c r="Y80" s="322"/>
      <c r="Z80" s="322"/>
      <c r="AA80" s="323"/>
      <c r="AB80" s="323"/>
      <c r="AC80" s="323"/>
      <c r="AD80" s="323"/>
      <c r="AE80" s="323"/>
      <c r="AF80" s="323"/>
      <c r="AG80" s="323"/>
      <c r="AH80" s="323"/>
      <c r="AI80" s="323"/>
      <c r="AJ80" s="327"/>
      <c r="AK80" s="324"/>
      <c r="AY80" s="326"/>
    </row>
    <row r="81" spans="1:51" s="294" customFormat="1" ht="37.5" customHeight="1" x14ac:dyDescent="0.3">
      <c r="A81" s="265" t="s">
        <v>77</v>
      </c>
      <c r="B81" s="266">
        <v>3</v>
      </c>
      <c r="C81" s="266">
        <v>1</v>
      </c>
      <c r="D81" s="267">
        <v>78</v>
      </c>
      <c r="E81" s="328"/>
      <c r="F81" s="329"/>
      <c r="G81" s="329"/>
      <c r="H81" s="330" t="s">
        <v>200</v>
      </c>
      <c r="I81" s="271">
        <f>+'[2]EJ. AGREGADA'!T9</f>
        <v>2181124000</v>
      </c>
      <c r="J81" s="271">
        <f>+'[2]EJ. AGREGADA'!X9</f>
        <v>2065741685</v>
      </c>
      <c r="K81" s="304">
        <f t="shared" si="25"/>
        <v>0.94709960781688707</v>
      </c>
      <c r="L81" s="271">
        <f>+'[2]EJ. AGREGADA'!AB9-80000000</f>
        <v>35382315</v>
      </c>
      <c r="M81" s="271">
        <f>+'[2]EJ. AGREGADA'!W9+80000000</f>
        <v>80000000</v>
      </c>
      <c r="N81" s="271">
        <f>+'[2]EJ. AGREGADA'!Y9</f>
        <v>108485283.15000001</v>
      </c>
      <c r="O81" s="305">
        <f t="shared" si="27"/>
        <v>4.9738246495843429E-2</v>
      </c>
      <c r="P81" s="271">
        <f>+'[2]EJ. AGREGADA'!AA9</f>
        <v>108485283.15000001</v>
      </c>
      <c r="Q81" s="306">
        <f t="shared" si="26"/>
        <v>4.9738246495843429E-2</v>
      </c>
      <c r="R81" s="331">
        <v>21175639.73</v>
      </c>
      <c r="AY81" s="295"/>
    </row>
    <row r="82" spans="1:51" s="294" customFormat="1" x14ac:dyDescent="0.3">
      <c r="A82" s="282" t="s">
        <v>77</v>
      </c>
      <c r="B82" s="283" t="s">
        <v>158</v>
      </c>
      <c r="C82" s="317"/>
      <c r="D82" s="317"/>
      <c r="E82" s="317"/>
      <c r="F82" s="332"/>
      <c r="G82" s="332"/>
      <c r="H82" s="251" t="s">
        <v>281</v>
      </c>
      <c r="I82" s="318">
        <f>+I83</f>
        <v>280000000</v>
      </c>
      <c r="J82" s="318">
        <f t="shared" ref="J82:P82" si="28">+J83</f>
        <v>40628359</v>
      </c>
      <c r="K82" s="319">
        <f t="shared" si="25"/>
        <v>0.14510128214285714</v>
      </c>
      <c r="L82" s="318">
        <f>+L83</f>
        <v>239371641</v>
      </c>
      <c r="M82" s="318">
        <f>+M83</f>
        <v>0</v>
      </c>
      <c r="N82" s="318">
        <f t="shared" si="28"/>
        <v>27584713</v>
      </c>
      <c r="O82" s="320">
        <f t="shared" si="27"/>
        <v>9.8516832142857141E-2</v>
      </c>
      <c r="P82" s="318">
        <f t="shared" si="28"/>
        <v>27584713</v>
      </c>
      <c r="Q82" s="321">
        <f t="shared" si="26"/>
        <v>9.8516832142857141E-2</v>
      </c>
      <c r="R82" s="331"/>
      <c r="AY82" s="295"/>
    </row>
    <row r="83" spans="1:51" s="333" customFormat="1" x14ac:dyDescent="0.3">
      <c r="A83" s="256" t="s">
        <v>77</v>
      </c>
      <c r="B83" s="257" t="s">
        <v>158</v>
      </c>
      <c r="C83" s="257" t="s">
        <v>59</v>
      </c>
      <c r="D83" s="258"/>
      <c r="E83" s="296"/>
      <c r="F83" s="329"/>
      <c r="G83" s="329"/>
      <c r="H83" s="297" t="s">
        <v>242</v>
      </c>
      <c r="I83" s="302">
        <f>+I84+I85</f>
        <v>280000000</v>
      </c>
      <c r="J83" s="302">
        <f t="shared" ref="J83:P83" si="29">+J84+J85</f>
        <v>40628359</v>
      </c>
      <c r="K83" s="298">
        <f t="shared" si="25"/>
        <v>0.14510128214285714</v>
      </c>
      <c r="L83" s="302">
        <f>+L84+L85</f>
        <v>239371641</v>
      </c>
      <c r="M83" s="302">
        <f>+M84+M85</f>
        <v>0</v>
      </c>
      <c r="N83" s="302">
        <f t="shared" si="29"/>
        <v>27584713</v>
      </c>
      <c r="O83" s="299">
        <f t="shared" si="27"/>
        <v>9.8516832142857141E-2</v>
      </c>
      <c r="P83" s="302">
        <f t="shared" si="29"/>
        <v>27584713</v>
      </c>
      <c r="Q83" s="300">
        <f t="shared" si="26"/>
        <v>9.8516832142857141E-2</v>
      </c>
      <c r="R83" s="292"/>
      <c r="AY83" s="334"/>
    </row>
    <row r="84" spans="1:51" s="333" customFormat="1" x14ac:dyDescent="0.3">
      <c r="A84" s="265" t="s">
        <v>77</v>
      </c>
      <c r="B84" s="266" t="s">
        <v>158</v>
      </c>
      <c r="C84" s="266" t="s">
        <v>59</v>
      </c>
      <c r="D84" s="267" t="s">
        <v>159</v>
      </c>
      <c r="E84" s="267">
        <v>1</v>
      </c>
      <c r="F84" s="259"/>
      <c r="G84" s="259"/>
      <c r="H84" s="303" t="s">
        <v>160</v>
      </c>
      <c r="I84" s="281">
        <f>+'[2]EJ. DESAGREGADA'!T57</f>
        <v>90000000</v>
      </c>
      <c r="J84" s="281">
        <f>+'[2]EJ. DESAGREGADA'!X57</f>
        <v>16805017</v>
      </c>
      <c r="K84" s="304">
        <f t="shared" si="25"/>
        <v>0.1867224111111111</v>
      </c>
      <c r="L84" s="281">
        <f>+'[2]EJ. DESAGREGADA'!AB57</f>
        <v>73194983</v>
      </c>
      <c r="M84" s="281">
        <f>+'[2]EJ. DESAGREGADA'!W57</f>
        <v>0</v>
      </c>
      <c r="N84" s="281">
        <f>+'[2]EJ. DESAGREGADA'!Y57</f>
        <v>16805017</v>
      </c>
      <c r="O84" s="305">
        <f t="shared" si="27"/>
        <v>0.1867224111111111</v>
      </c>
      <c r="P84" s="281">
        <f>+'[2]EJ. DESAGREGADA'!AA57</f>
        <v>16805017</v>
      </c>
      <c r="Q84" s="306">
        <f t="shared" si="26"/>
        <v>0.1867224111111111</v>
      </c>
      <c r="R84" s="292"/>
      <c r="AY84" s="334"/>
    </row>
    <row r="85" spans="1:51" s="333" customFormat="1" x14ac:dyDescent="0.3">
      <c r="A85" s="265" t="s">
        <v>77</v>
      </c>
      <c r="B85" s="266" t="s">
        <v>158</v>
      </c>
      <c r="C85" s="266" t="s">
        <v>59</v>
      </c>
      <c r="D85" s="267" t="s">
        <v>159</v>
      </c>
      <c r="E85" s="267">
        <v>2</v>
      </c>
      <c r="F85" s="259"/>
      <c r="G85" s="259"/>
      <c r="H85" s="303" t="s">
        <v>162</v>
      </c>
      <c r="I85" s="281">
        <f>+'[2]EJ. DESAGREGADA'!T58</f>
        <v>190000000</v>
      </c>
      <c r="J85" s="281">
        <f>+'[2]EJ. DESAGREGADA'!X58</f>
        <v>23823342</v>
      </c>
      <c r="K85" s="304">
        <f t="shared" si="25"/>
        <v>0.12538601052631579</v>
      </c>
      <c r="L85" s="281">
        <f>+'[2]EJ. DESAGREGADA'!AB58</f>
        <v>166176658</v>
      </c>
      <c r="M85" s="281">
        <f>+'[2]EJ. DESAGREGADA'!W58</f>
        <v>0</v>
      </c>
      <c r="N85" s="281">
        <f>+'[2]EJ. DESAGREGADA'!Y58</f>
        <v>10779696</v>
      </c>
      <c r="O85" s="305">
        <f t="shared" si="27"/>
        <v>5.6735242105263158E-2</v>
      </c>
      <c r="P85" s="281">
        <f>+'[2]EJ. DESAGREGADA'!AA58</f>
        <v>10779696</v>
      </c>
      <c r="Q85" s="306">
        <f t="shared" si="26"/>
        <v>5.6735242105263158E-2</v>
      </c>
      <c r="R85" s="292"/>
      <c r="AY85" s="334"/>
    </row>
    <row r="86" spans="1:51" s="333" customFormat="1" x14ac:dyDescent="0.3">
      <c r="A86" s="282">
        <v>3</v>
      </c>
      <c r="B86" s="283">
        <v>10</v>
      </c>
      <c r="C86" s="317"/>
      <c r="D86" s="317"/>
      <c r="E86" s="317"/>
      <c r="F86" s="332"/>
      <c r="G86" s="332"/>
      <c r="H86" s="251" t="s">
        <v>204</v>
      </c>
      <c r="I86" s="318">
        <f>+I87</f>
        <v>117000000</v>
      </c>
      <c r="J86" s="318">
        <f>+J87</f>
        <v>0</v>
      </c>
      <c r="K86" s="319">
        <f>+J86/I86</f>
        <v>0</v>
      </c>
      <c r="L86" s="318">
        <f t="shared" ref="L86:L87" si="30">+L87</f>
        <v>0</v>
      </c>
      <c r="M86" s="318">
        <f>+M87</f>
        <v>117000000</v>
      </c>
      <c r="N86" s="318">
        <f>+N87</f>
        <v>0</v>
      </c>
      <c r="O86" s="320">
        <f>+N86/I86</f>
        <v>0</v>
      </c>
      <c r="P86" s="318">
        <f>+P87</f>
        <v>0</v>
      </c>
      <c r="Q86" s="321">
        <f>+P86/I86</f>
        <v>0</v>
      </c>
      <c r="R86" s="292"/>
      <c r="AY86" s="334"/>
    </row>
    <row r="87" spans="1:51" s="239" customFormat="1" x14ac:dyDescent="0.3">
      <c r="A87" s="307">
        <v>3</v>
      </c>
      <c r="B87" s="308">
        <v>10</v>
      </c>
      <c r="C87" s="335" t="s">
        <v>59</v>
      </c>
      <c r="D87" s="296"/>
      <c r="E87" s="296"/>
      <c r="F87" s="329"/>
      <c r="G87" s="329"/>
      <c r="H87" s="297" t="s">
        <v>243</v>
      </c>
      <c r="I87" s="302">
        <f>+I88</f>
        <v>117000000</v>
      </c>
      <c r="J87" s="302">
        <f>+J88</f>
        <v>0</v>
      </c>
      <c r="K87" s="298">
        <f>+J87/I87</f>
        <v>0</v>
      </c>
      <c r="L87" s="302">
        <f t="shared" si="30"/>
        <v>0</v>
      </c>
      <c r="M87" s="302">
        <f>+M88</f>
        <v>117000000</v>
      </c>
      <c r="N87" s="302">
        <f>+N88</f>
        <v>0</v>
      </c>
      <c r="O87" s="299">
        <f>+N87/I87</f>
        <v>0</v>
      </c>
      <c r="P87" s="302">
        <f>+P88</f>
        <v>0</v>
      </c>
      <c r="Q87" s="306">
        <f>+P87/I87</f>
        <v>0</v>
      </c>
      <c r="R87" s="238"/>
      <c r="AY87" s="240"/>
    </row>
    <row r="88" spans="1:51" s="333" customFormat="1" ht="21.6" x14ac:dyDescent="0.3">
      <c r="A88" s="265">
        <v>3</v>
      </c>
      <c r="B88" s="266">
        <v>10</v>
      </c>
      <c r="C88" s="266">
        <v>2</v>
      </c>
      <c r="D88" s="267">
        <v>1</v>
      </c>
      <c r="E88" s="267"/>
      <c r="F88" s="259"/>
      <c r="G88" s="259"/>
      <c r="H88" s="303" t="s">
        <v>164</v>
      </c>
      <c r="I88" s="281">
        <f>+'[2]EJ. DESAGREGADA'!T59</f>
        <v>117000000</v>
      </c>
      <c r="J88" s="281">
        <f>+'[2]EJ. DESAGREGADA'!X59</f>
        <v>0</v>
      </c>
      <c r="K88" s="304">
        <f>+J88/I88</f>
        <v>0</v>
      </c>
      <c r="L88" s="281">
        <f>+'[2]EJ. DESAGREGADA'!AB59</f>
        <v>0</v>
      </c>
      <c r="M88" s="281">
        <f>+'[2]EJ. DESAGREGADA'!W59</f>
        <v>117000000</v>
      </c>
      <c r="N88" s="281">
        <f>+'[2]EJ. DESAGREGADA'!Y59</f>
        <v>0</v>
      </c>
      <c r="O88" s="305">
        <f>+N88/I88</f>
        <v>0</v>
      </c>
      <c r="P88" s="281">
        <f>+'[2]EJ. DESAGREGADA'!AA59</f>
        <v>0</v>
      </c>
      <c r="Q88" s="306">
        <f>+P88/I88</f>
        <v>0</v>
      </c>
      <c r="R88" s="292"/>
      <c r="AY88" s="334"/>
    </row>
    <row r="89" spans="1:51" s="239" customFormat="1" x14ac:dyDescent="0.3">
      <c r="A89" s="230" t="s">
        <v>206</v>
      </c>
      <c r="B89" s="231" t="s">
        <v>1</v>
      </c>
      <c r="C89" s="232" t="s">
        <v>1</v>
      </c>
      <c r="D89" s="231" t="s">
        <v>1</v>
      </c>
      <c r="E89" s="232"/>
      <c r="F89" s="231"/>
      <c r="G89" s="231"/>
      <c r="H89" s="233" t="s">
        <v>244</v>
      </c>
      <c r="I89" s="234">
        <f>+I90</f>
        <v>309000000</v>
      </c>
      <c r="J89" s="234">
        <f>+J90</f>
        <v>0</v>
      </c>
      <c r="K89" s="235">
        <f t="shared" si="25"/>
        <v>0</v>
      </c>
      <c r="L89" s="234">
        <f>+L90</f>
        <v>0</v>
      </c>
      <c r="M89" s="234">
        <f>+M90</f>
        <v>309000000</v>
      </c>
      <c r="N89" s="234">
        <f t="shared" ref="J89:T90" si="31">+N90</f>
        <v>0</v>
      </c>
      <c r="O89" s="236">
        <f t="shared" si="27"/>
        <v>0</v>
      </c>
      <c r="P89" s="234">
        <f t="shared" si="31"/>
        <v>0</v>
      </c>
      <c r="Q89" s="237">
        <f t="shared" si="26"/>
        <v>0</v>
      </c>
      <c r="R89" s="331"/>
      <c r="AY89" s="240"/>
    </row>
    <row r="90" spans="1:51" s="294" customFormat="1" x14ac:dyDescent="0.3">
      <c r="A90" s="282" t="s">
        <v>206</v>
      </c>
      <c r="B90" s="283" t="s">
        <v>158</v>
      </c>
      <c r="C90" s="283" t="s">
        <v>1</v>
      </c>
      <c r="D90" s="286"/>
      <c r="E90" s="286"/>
      <c r="F90" s="336"/>
      <c r="G90" s="336"/>
      <c r="H90" s="337" t="s">
        <v>282</v>
      </c>
      <c r="I90" s="318">
        <f>+I91</f>
        <v>309000000</v>
      </c>
      <c r="J90" s="318">
        <f t="shared" si="31"/>
        <v>0</v>
      </c>
      <c r="K90" s="319">
        <f t="shared" si="25"/>
        <v>0</v>
      </c>
      <c r="L90" s="318">
        <f t="shared" si="31"/>
        <v>0</v>
      </c>
      <c r="M90" s="318">
        <f>+M91</f>
        <v>309000000</v>
      </c>
      <c r="N90" s="318">
        <f t="shared" si="31"/>
        <v>0</v>
      </c>
      <c r="O90" s="320">
        <f t="shared" si="27"/>
        <v>0</v>
      </c>
      <c r="P90" s="318">
        <f t="shared" si="31"/>
        <v>0</v>
      </c>
      <c r="Q90" s="321">
        <f t="shared" si="26"/>
        <v>0</v>
      </c>
      <c r="R90" s="331"/>
      <c r="AY90" s="295"/>
    </row>
    <row r="91" spans="1:51" s="294" customFormat="1" x14ac:dyDescent="0.3">
      <c r="A91" s="265" t="s">
        <v>206</v>
      </c>
      <c r="B91" s="266" t="s">
        <v>158</v>
      </c>
      <c r="C91" s="266" t="s">
        <v>37</v>
      </c>
      <c r="D91" s="259"/>
      <c r="E91" s="259"/>
      <c r="F91" s="338"/>
      <c r="G91" s="338"/>
      <c r="H91" s="269" t="s">
        <v>209</v>
      </c>
      <c r="I91" s="271">
        <f>+'[2]EJ. AGREGADA'!T12</f>
        <v>309000000</v>
      </c>
      <c r="J91" s="271">
        <f>+'[2]EJ. AGREGADA'!X12</f>
        <v>0</v>
      </c>
      <c r="K91" s="339">
        <f>+J91/I91</f>
        <v>0</v>
      </c>
      <c r="L91" s="271">
        <f>+'[2]EJ. AGREGADA'!AB12-309000000</f>
        <v>0</v>
      </c>
      <c r="M91" s="271">
        <f>+'[2]EJ. AGREGADA'!W12+309000000</f>
        <v>309000000</v>
      </c>
      <c r="N91" s="271">
        <f>+'[2]EJ. AGREGADA'!Y12</f>
        <v>0</v>
      </c>
      <c r="O91" s="340">
        <f t="shared" si="27"/>
        <v>0</v>
      </c>
      <c r="P91" s="271">
        <f>+'[2]EJ. AGREGADA'!AA12</f>
        <v>0</v>
      </c>
      <c r="Q91" s="341">
        <f>+P91/I91</f>
        <v>0</v>
      </c>
      <c r="R91" s="331"/>
      <c r="AY91" s="295"/>
    </row>
    <row r="92" spans="1:51" s="351" customFormat="1" ht="17.25" customHeight="1" x14ac:dyDescent="0.3">
      <c r="A92" s="342" t="s">
        <v>36</v>
      </c>
      <c r="B92" s="343"/>
      <c r="C92" s="343"/>
      <c r="D92" s="343"/>
      <c r="E92" s="343"/>
      <c r="F92" s="343"/>
      <c r="G92" s="344"/>
      <c r="H92" s="345" t="s">
        <v>245</v>
      </c>
      <c r="I92" s="346">
        <f>+I89+I78+I35+I8</f>
        <v>235719209405</v>
      </c>
      <c r="J92" s="346">
        <f>+J89+J78+J35+J8</f>
        <v>110246288887.87</v>
      </c>
      <c r="K92" s="347">
        <f t="shared" ref="K92:K113" si="32">+J92/I92</f>
        <v>0.46770175908086803</v>
      </c>
      <c r="L92" s="346">
        <f>+L8+L35+L78+L89</f>
        <v>62982078726.410004</v>
      </c>
      <c r="M92" s="346">
        <f>+M8+M35+M78+M89</f>
        <v>62490841790.720001</v>
      </c>
      <c r="N92" s="346">
        <f>+N8+N35+N78+N89</f>
        <v>8881487497.1800003</v>
      </c>
      <c r="O92" s="348">
        <f t="shared" si="27"/>
        <v>3.7678250829020508E-2</v>
      </c>
      <c r="P92" s="346">
        <f>+P8+P35+P78+P89</f>
        <v>8881469097.1800003</v>
      </c>
      <c r="Q92" s="349">
        <f t="shared" ref="Q92:Q113" si="33">+P92/I92</f>
        <v>3.7678172770044975E-2</v>
      </c>
      <c r="R92" s="350"/>
      <c r="AY92" s="352"/>
    </row>
    <row r="93" spans="1:51" s="333" customFormat="1" ht="21.6" x14ac:dyDescent="0.3">
      <c r="A93" s="353" t="s">
        <v>167</v>
      </c>
      <c r="B93" s="354" t="s">
        <v>168</v>
      </c>
      <c r="C93" s="354">
        <v>3</v>
      </c>
      <c r="D93" s="231"/>
      <c r="E93" s="231"/>
      <c r="F93" s="231"/>
      <c r="G93" s="231"/>
      <c r="H93" s="233" t="s">
        <v>229</v>
      </c>
      <c r="I93" s="355">
        <f>+I94</f>
        <v>5958976410</v>
      </c>
      <c r="J93" s="355">
        <f>+J94</f>
        <v>2012933280</v>
      </c>
      <c r="K93" s="356">
        <f t="shared" si="32"/>
        <v>0.33779849784637761</v>
      </c>
      <c r="L93" s="355">
        <f>+L94</f>
        <v>3499575384</v>
      </c>
      <c r="M93" s="355">
        <f>+M94</f>
        <v>446467746</v>
      </c>
      <c r="N93" s="355">
        <f t="shared" ref="N93:P93" si="34">+N94</f>
        <v>0</v>
      </c>
      <c r="O93" s="357">
        <f t="shared" si="27"/>
        <v>0</v>
      </c>
      <c r="P93" s="355">
        <f t="shared" si="34"/>
        <v>0</v>
      </c>
      <c r="Q93" s="358">
        <f t="shared" si="33"/>
        <v>0</v>
      </c>
      <c r="R93" s="359"/>
      <c r="AW93" s="334"/>
    </row>
    <row r="94" spans="1:51" s="333" customFormat="1" ht="21.6" x14ac:dyDescent="0.3">
      <c r="A94" s="249" t="s">
        <v>167</v>
      </c>
      <c r="B94" s="250" t="s">
        <v>168</v>
      </c>
      <c r="C94" s="250">
        <v>3</v>
      </c>
      <c r="D94" s="250" t="s">
        <v>170</v>
      </c>
      <c r="E94" s="250"/>
      <c r="F94" s="286"/>
      <c r="G94" s="286"/>
      <c r="H94" s="251" t="s">
        <v>283</v>
      </c>
      <c r="I94" s="318">
        <f>+I95+I98+I101</f>
        <v>5958976410</v>
      </c>
      <c r="J94" s="318">
        <f>+J95+J98+J101</f>
        <v>2012933280</v>
      </c>
      <c r="K94" s="319">
        <f t="shared" si="32"/>
        <v>0.33779849784637761</v>
      </c>
      <c r="L94" s="318">
        <f>+L95+L98+L101</f>
        <v>3499575384</v>
      </c>
      <c r="M94" s="318">
        <f>+M95+M98+M101</f>
        <v>446467746</v>
      </c>
      <c r="N94" s="318">
        <f>+N95+N98+N101</f>
        <v>0</v>
      </c>
      <c r="O94" s="320">
        <f t="shared" si="27"/>
        <v>0</v>
      </c>
      <c r="P94" s="318">
        <f>+P95+P98+P101</f>
        <v>0</v>
      </c>
      <c r="Q94" s="321">
        <f t="shared" si="33"/>
        <v>0</v>
      </c>
      <c r="R94" s="239"/>
      <c r="S94" s="359"/>
      <c r="T94" s="201"/>
      <c r="AY94" s="334"/>
    </row>
    <row r="95" spans="1:51" s="239" customFormat="1" ht="35.25" customHeight="1" x14ac:dyDescent="0.3">
      <c r="A95" s="360" t="s">
        <v>167</v>
      </c>
      <c r="B95" s="276" t="s">
        <v>168</v>
      </c>
      <c r="C95" s="276">
        <v>3</v>
      </c>
      <c r="D95" s="276" t="s">
        <v>170</v>
      </c>
      <c r="E95" s="276">
        <v>1205005</v>
      </c>
      <c r="F95" s="276"/>
      <c r="G95" s="276"/>
      <c r="H95" s="297" t="s">
        <v>284</v>
      </c>
      <c r="I95" s="302">
        <f>+I96</f>
        <v>3429600000</v>
      </c>
      <c r="J95" s="302">
        <f>+J96</f>
        <v>1019000000</v>
      </c>
      <c r="K95" s="298">
        <f t="shared" si="32"/>
        <v>0.29711919757406113</v>
      </c>
      <c r="L95" s="302">
        <f>+L96</f>
        <v>2124544000</v>
      </c>
      <c r="M95" s="302">
        <f>+M96</f>
        <v>286056000</v>
      </c>
      <c r="N95" s="302">
        <f t="shared" ref="J95:T96" si="35">+N96</f>
        <v>0</v>
      </c>
      <c r="O95" s="299">
        <f t="shared" si="27"/>
        <v>0</v>
      </c>
      <c r="P95" s="302">
        <f>+P96</f>
        <v>0</v>
      </c>
      <c r="Q95" s="300">
        <f>+P95/I95</f>
        <v>0</v>
      </c>
      <c r="R95" s="201"/>
      <c r="T95" s="361"/>
      <c r="AY95" s="240"/>
    </row>
    <row r="96" spans="1:51" s="239" customFormat="1" ht="54.75" customHeight="1" x14ac:dyDescent="0.3">
      <c r="A96" s="362" t="s">
        <v>167</v>
      </c>
      <c r="B96" s="363" t="s">
        <v>168</v>
      </c>
      <c r="C96" s="363">
        <v>3</v>
      </c>
      <c r="D96" s="363" t="s">
        <v>170</v>
      </c>
      <c r="E96" s="363">
        <v>1205005</v>
      </c>
      <c r="F96" s="364" t="s">
        <v>59</v>
      </c>
      <c r="G96" s="364"/>
      <c r="H96" s="290" t="s">
        <v>285</v>
      </c>
      <c r="I96" s="365">
        <f>+I97</f>
        <v>3429600000</v>
      </c>
      <c r="J96" s="365">
        <f t="shared" si="35"/>
        <v>1019000000</v>
      </c>
      <c r="K96" s="366">
        <f t="shared" si="32"/>
        <v>0.29711919757406113</v>
      </c>
      <c r="L96" s="365">
        <f t="shared" si="35"/>
        <v>2124544000</v>
      </c>
      <c r="M96" s="302">
        <f t="shared" si="35"/>
        <v>286056000</v>
      </c>
      <c r="N96" s="365">
        <f t="shared" si="35"/>
        <v>0</v>
      </c>
      <c r="O96" s="367">
        <f t="shared" si="27"/>
        <v>0</v>
      </c>
      <c r="P96" s="365">
        <f t="shared" si="35"/>
        <v>0</v>
      </c>
      <c r="Q96" s="368">
        <f t="shared" si="33"/>
        <v>0</v>
      </c>
      <c r="AY96" s="240"/>
    </row>
    <row r="97" spans="1:51" ht="50.4" customHeight="1" x14ac:dyDescent="0.3">
      <c r="A97" s="369" t="s">
        <v>167</v>
      </c>
      <c r="B97" s="63" t="s">
        <v>168</v>
      </c>
      <c r="C97" s="63">
        <v>3</v>
      </c>
      <c r="D97" s="63" t="s">
        <v>170</v>
      </c>
      <c r="E97" s="63">
        <v>1205005</v>
      </c>
      <c r="F97" s="370" t="s">
        <v>59</v>
      </c>
      <c r="G97" s="370" t="s">
        <v>37</v>
      </c>
      <c r="H97" s="303" t="s">
        <v>173</v>
      </c>
      <c r="I97" s="281">
        <f>+'[2]EJ. DESAGREGADA'!T60</f>
        <v>3429600000</v>
      </c>
      <c r="J97" s="270">
        <f>+'[2]EJ. DESAGREGADA'!X60</f>
        <v>1019000000</v>
      </c>
      <c r="K97" s="304">
        <f t="shared" si="32"/>
        <v>0.29711919757406113</v>
      </c>
      <c r="L97" s="281">
        <f>+'[2]EJ. DESAGREGADA'!AB60</f>
        <v>2124544000</v>
      </c>
      <c r="M97" s="281">
        <f>'[2]EJ. DESAGREGADA'!W60</f>
        <v>286056000</v>
      </c>
      <c r="N97" s="281">
        <f>'[2]EJ. DESAGREGADA'!Y60</f>
        <v>0</v>
      </c>
      <c r="O97" s="305">
        <f t="shared" si="27"/>
        <v>0</v>
      </c>
      <c r="P97" s="281">
        <f>'[2]EJ. DESAGREGADA'!AA60</f>
        <v>0</v>
      </c>
      <c r="Q97" s="306">
        <f t="shared" si="33"/>
        <v>0</v>
      </c>
      <c r="R97" s="201"/>
      <c r="AX97" s="202"/>
      <c r="AY97" s="201"/>
    </row>
    <row r="98" spans="1:51" ht="21.75" customHeight="1" x14ac:dyDescent="0.3">
      <c r="A98" s="362" t="s">
        <v>167</v>
      </c>
      <c r="B98" s="363" t="s">
        <v>168</v>
      </c>
      <c r="C98" s="363">
        <v>3</v>
      </c>
      <c r="D98" s="363" t="s">
        <v>170</v>
      </c>
      <c r="E98" s="363">
        <v>1205007</v>
      </c>
      <c r="F98" s="364"/>
      <c r="G98" s="364"/>
      <c r="H98" s="297" t="s">
        <v>286</v>
      </c>
      <c r="I98" s="302">
        <f>+I99</f>
        <v>0</v>
      </c>
      <c r="J98" s="302">
        <f>+J99</f>
        <v>0</v>
      </c>
      <c r="K98" s="298" t="e">
        <f t="shared" si="32"/>
        <v>#DIV/0!</v>
      </c>
      <c r="L98" s="302">
        <f t="shared" ref="L98:N99" si="36">+L99</f>
        <v>0</v>
      </c>
      <c r="M98" s="302">
        <f t="shared" si="36"/>
        <v>0</v>
      </c>
      <c r="N98" s="302">
        <f t="shared" si="36"/>
        <v>0</v>
      </c>
      <c r="O98" s="299" t="e">
        <f t="shared" si="27"/>
        <v>#DIV/0!</v>
      </c>
      <c r="P98" s="302">
        <f>+P99</f>
        <v>0</v>
      </c>
      <c r="Q98" s="300" t="e">
        <f t="shared" si="33"/>
        <v>#DIV/0!</v>
      </c>
      <c r="R98" s="201"/>
      <c r="AX98" s="202"/>
      <c r="AY98" s="201"/>
    </row>
    <row r="99" spans="1:51" s="239" customFormat="1" ht="64.2" customHeight="1" x14ac:dyDescent="0.3">
      <c r="A99" s="362" t="s">
        <v>167</v>
      </c>
      <c r="B99" s="363" t="s">
        <v>168</v>
      </c>
      <c r="C99" s="363">
        <v>3</v>
      </c>
      <c r="D99" s="363" t="s">
        <v>170</v>
      </c>
      <c r="E99" s="363">
        <v>1205007</v>
      </c>
      <c r="F99" s="364" t="s">
        <v>59</v>
      </c>
      <c r="G99" s="364"/>
      <c r="H99" s="290" t="s">
        <v>287</v>
      </c>
      <c r="I99" s="365">
        <f>+I100</f>
        <v>0</v>
      </c>
      <c r="J99" s="365">
        <f>+J100</f>
        <v>0</v>
      </c>
      <c r="K99" s="366" t="e">
        <f t="shared" si="32"/>
        <v>#DIV/0!</v>
      </c>
      <c r="L99" s="365">
        <f t="shared" si="36"/>
        <v>0</v>
      </c>
      <c r="M99" s="302">
        <f t="shared" si="36"/>
        <v>0</v>
      </c>
      <c r="N99" s="365">
        <f t="shared" si="36"/>
        <v>0</v>
      </c>
      <c r="O99" s="367" t="e">
        <f t="shared" si="27"/>
        <v>#DIV/0!</v>
      </c>
      <c r="P99" s="365">
        <f>+P100</f>
        <v>0</v>
      </c>
      <c r="Q99" s="368" t="e">
        <f t="shared" si="33"/>
        <v>#DIV/0!</v>
      </c>
      <c r="AX99" s="240"/>
    </row>
    <row r="100" spans="1:51" ht="57.6" customHeight="1" x14ac:dyDescent="0.3">
      <c r="A100" s="371" t="s">
        <v>167</v>
      </c>
      <c r="B100" s="328" t="s">
        <v>168</v>
      </c>
      <c r="C100" s="328">
        <v>3</v>
      </c>
      <c r="D100" s="328" t="s">
        <v>170</v>
      </c>
      <c r="E100" s="328">
        <v>1205007</v>
      </c>
      <c r="F100" s="372" t="s">
        <v>59</v>
      </c>
      <c r="G100" s="372" t="s">
        <v>37</v>
      </c>
      <c r="H100" s="330" t="s">
        <v>179</v>
      </c>
      <c r="I100" s="281">
        <f>+'[2]EJ. DESAGREGADA'!T61</f>
        <v>0</v>
      </c>
      <c r="J100" s="281">
        <f>+'[2]EJ. DESAGREGADA'!X61</f>
        <v>0</v>
      </c>
      <c r="K100" s="373" t="e">
        <f>+J100/I100</f>
        <v>#DIV/0!</v>
      </c>
      <c r="L100" s="281">
        <f>+'[2]EJ. DESAGREGADA'!AB61</f>
        <v>0</v>
      </c>
      <c r="M100" s="281">
        <f>'[2]EJ. DESAGREGADA'!W61</f>
        <v>0</v>
      </c>
      <c r="N100" s="281">
        <f>+'[2]EJ. DESAGREGADA'!Y61</f>
        <v>0</v>
      </c>
      <c r="O100" s="305" t="e">
        <f t="shared" si="27"/>
        <v>#DIV/0!</v>
      </c>
      <c r="P100" s="281">
        <f>+'[2]EJ. DESAGREGADA'!AA61</f>
        <v>0</v>
      </c>
      <c r="Q100" s="306" t="e">
        <f t="shared" si="33"/>
        <v>#DIV/0!</v>
      </c>
      <c r="R100" s="201"/>
      <c r="AX100" s="202"/>
      <c r="AY100" s="201"/>
    </row>
    <row r="101" spans="1:51" ht="21.6" x14ac:dyDescent="0.3">
      <c r="A101" s="362" t="s">
        <v>167</v>
      </c>
      <c r="B101" s="363" t="s">
        <v>168</v>
      </c>
      <c r="C101" s="363">
        <v>3</v>
      </c>
      <c r="D101" s="363" t="s">
        <v>170</v>
      </c>
      <c r="E101" s="363">
        <v>1205008</v>
      </c>
      <c r="F101" s="364"/>
      <c r="G101" s="364"/>
      <c r="H101" s="297" t="s">
        <v>288</v>
      </c>
      <c r="I101" s="302">
        <f>+I102</f>
        <v>2529376410</v>
      </c>
      <c r="J101" s="302">
        <f>+J102</f>
        <v>993933280</v>
      </c>
      <c r="K101" s="298">
        <f t="shared" ref="K101:K111" si="37">+J101/I101</f>
        <v>0.39295585902930119</v>
      </c>
      <c r="L101" s="302">
        <f>+L102</f>
        <v>1375031384</v>
      </c>
      <c r="M101" s="302">
        <f t="shared" ref="M101:P102" si="38">+M102</f>
        <v>160411746</v>
      </c>
      <c r="N101" s="302">
        <f t="shared" si="38"/>
        <v>0</v>
      </c>
      <c r="O101" s="299">
        <f t="shared" si="27"/>
        <v>0</v>
      </c>
      <c r="P101" s="302">
        <f t="shared" si="38"/>
        <v>0</v>
      </c>
      <c r="Q101" s="300">
        <f t="shared" si="33"/>
        <v>0</v>
      </c>
      <c r="R101" s="201"/>
      <c r="AY101" s="201"/>
    </row>
    <row r="102" spans="1:51" s="239" customFormat="1" ht="109.5" customHeight="1" x14ac:dyDescent="0.3">
      <c r="A102" s="362" t="s">
        <v>167</v>
      </c>
      <c r="B102" s="363" t="s">
        <v>168</v>
      </c>
      <c r="C102" s="363">
        <v>3</v>
      </c>
      <c r="D102" s="363" t="s">
        <v>170</v>
      </c>
      <c r="E102" s="363">
        <v>1205008</v>
      </c>
      <c r="F102" s="364" t="s">
        <v>59</v>
      </c>
      <c r="G102" s="364"/>
      <c r="H102" s="297" t="s">
        <v>289</v>
      </c>
      <c r="I102" s="365">
        <f>+I103</f>
        <v>2529376410</v>
      </c>
      <c r="J102" s="365">
        <f>+J103</f>
        <v>993933280</v>
      </c>
      <c r="K102" s="366">
        <f t="shared" si="37"/>
        <v>0.39295585902930119</v>
      </c>
      <c r="L102" s="302">
        <f>+L103</f>
        <v>1375031384</v>
      </c>
      <c r="M102" s="302">
        <f t="shared" si="38"/>
        <v>160411746</v>
      </c>
      <c r="N102" s="365">
        <f t="shared" si="38"/>
        <v>0</v>
      </c>
      <c r="O102" s="367">
        <f t="shared" si="27"/>
        <v>0</v>
      </c>
      <c r="P102" s="365">
        <f t="shared" si="38"/>
        <v>0</v>
      </c>
      <c r="Q102" s="368">
        <f t="shared" si="33"/>
        <v>0</v>
      </c>
    </row>
    <row r="103" spans="1:51" ht="21.6" x14ac:dyDescent="0.3">
      <c r="A103" s="369" t="s">
        <v>167</v>
      </c>
      <c r="B103" s="63" t="s">
        <v>168</v>
      </c>
      <c r="C103" s="63">
        <v>3</v>
      </c>
      <c r="D103" s="63" t="s">
        <v>170</v>
      </c>
      <c r="E103" s="63">
        <v>1205008</v>
      </c>
      <c r="F103" s="370" t="s">
        <v>59</v>
      </c>
      <c r="G103" s="370" t="s">
        <v>59</v>
      </c>
      <c r="H103" s="303" t="s">
        <v>231</v>
      </c>
      <c r="I103" s="281">
        <f>+'[2]EJ. DESAGREGADA'!T62</f>
        <v>2529376410</v>
      </c>
      <c r="J103" s="270">
        <f>+'[2]EJ. DESAGREGADA'!X62</f>
        <v>993933280</v>
      </c>
      <c r="K103" s="304">
        <f t="shared" si="37"/>
        <v>0.39295585902930119</v>
      </c>
      <c r="L103" s="281">
        <f>+'[2]EJ. DESAGREGADA'!AB62</f>
        <v>1375031384</v>
      </c>
      <c r="M103" s="281">
        <f>'[2]EJ. DESAGREGADA'!W62</f>
        <v>160411746</v>
      </c>
      <c r="N103" s="281">
        <f>+'[2]EJ. DESAGREGADA'!Y62</f>
        <v>0</v>
      </c>
      <c r="O103" s="305">
        <f t="shared" si="27"/>
        <v>0</v>
      </c>
      <c r="P103" s="281">
        <f>+'[2]EJ. DESAGREGADA'!AA62</f>
        <v>0</v>
      </c>
      <c r="Q103" s="306">
        <f t="shared" si="33"/>
        <v>0</v>
      </c>
      <c r="R103" s="201"/>
      <c r="AY103" s="201"/>
    </row>
    <row r="104" spans="1:51" s="333" customFormat="1" ht="21.6" x14ac:dyDescent="0.3">
      <c r="A104" s="353" t="s">
        <v>167</v>
      </c>
      <c r="B104" s="354" t="s">
        <v>168</v>
      </c>
      <c r="C104" s="354">
        <v>4</v>
      </c>
      <c r="D104" s="231"/>
      <c r="E104" s="231"/>
      <c r="F104" s="231"/>
      <c r="G104" s="231"/>
      <c r="H104" s="374" t="s">
        <v>290</v>
      </c>
      <c r="I104" s="355">
        <f>+I105</f>
        <v>16307350590</v>
      </c>
      <c r="J104" s="355">
        <f>+J105</f>
        <v>0</v>
      </c>
      <c r="K104" s="356">
        <f t="shared" si="37"/>
        <v>0</v>
      </c>
      <c r="L104" s="355">
        <f>+L105</f>
        <v>0</v>
      </c>
      <c r="M104" s="355">
        <f>+M105</f>
        <v>16307350590</v>
      </c>
      <c r="N104" s="355">
        <f t="shared" ref="N104:P104" si="39">+N105</f>
        <v>0</v>
      </c>
      <c r="O104" s="357">
        <f t="shared" si="27"/>
        <v>0</v>
      </c>
      <c r="P104" s="355">
        <f t="shared" si="39"/>
        <v>0</v>
      </c>
      <c r="Q104" s="358">
        <f t="shared" si="33"/>
        <v>0</v>
      </c>
      <c r="R104" s="359"/>
      <c r="AW104" s="334"/>
    </row>
    <row r="105" spans="1:51" s="333" customFormat="1" ht="21.6" x14ac:dyDescent="0.3">
      <c r="A105" s="249" t="s">
        <v>167</v>
      </c>
      <c r="B105" s="250" t="s">
        <v>168</v>
      </c>
      <c r="C105" s="250">
        <v>4</v>
      </c>
      <c r="D105" s="250" t="s">
        <v>170</v>
      </c>
      <c r="E105" s="250"/>
      <c r="F105" s="286"/>
      <c r="G105" s="286"/>
      <c r="H105" s="375" t="s">
        <v>291</v>
      </c>
      <c r="I105" s="318">
        <f>+I106+I108+I110</f>
        <v>16307350590</v>
      </c>
      <c r="J105" s="318">
        <f>+J106+J108+J110</f>
        <v>0</v>
      </c>
      <c r="K105" s="319">
        <f t="shared" si="37"/>
        <v>0</v>
      </c>
      <c r="L105" s="318">
        <f>+L107+L109+L111</f>
        <v>0</v>
      </c>
      <c r="M105" s="318">
        <f>+M107+M109+M111</f>
        <v>16307350590</v>
      </c>
      <c r="N105" s="318">
        <f>+N106+N109+N114</f>
        <v>0</v>
      </c>
      <c r="O105" s="320">
        <f t="shared" si="27"/>
        <v>0</v>
      </c>
      <c r="P105" s="318">
        <f>+P106+P109+P114</f>
        <v>0</v>
      </c>
      <c r="Q105" s="321">
        <f t="shared" si="33"/>
        <v>0</v>
      </c>
      <c r="R105" s="239"/>
      <c r="S105" s="359"/>
      <c r="T105" s="201"/>
      <c r="AY105" s="334"/>
    </row>
    <row r="106" spans="1:51" s="239" customFormat="1" ht="35.25" customHeight="1" x14ac:dyDescent="0.3">
      <c r="A106" s="360" t="s">
        <v>167</v>
      </c>
      <c r="B106" s="276" t="s">
        <v>168</v>
      </c>
      <c r="C106" s="276">
        <v>4</v>
      </c>
      <c r="D106" s="276" t="s">
        <v>170</v>
      </c>
      <c r="E106" s="276">
        <v>1205007</v>
      </c>
      <c r="F106" s="276"/>
      <c r="G106" s="276"/>
      <c r="H106" s="290" t="s">
        <v>292</v>
      </c>
      <c r="I106" s="302">
        <f>+I107</f>
        <v>4267568590</v>
      </c>
      <c r="J106" s="302">
        <f>+J107</f>
        <v>0</v>
      </c>
      <c r="K106" s="298">
        <f t="shared" si="37"/>
        <v>0</v>
      </c>
      <c r="L106" s="302">
        <f>+L107</f>
        <v>0</v>
      </c>
      <c r="M106" s="302">
        <f t="shared" ref="M106:P110" si="40">+M107</f>
        <v>4267568590</v>
      </c>
      <c r="N106" s="302">
        <f t="shared" si="40"/>
        <v>0</v>
      </c>
      <c r="O106" s="299">
        <f t="shared" si="27"/>
        <v>0</v>
      </c>
      <c r="P106" s="302">
        <f>+P107</f>
        <v>0</v>
      </c>
      <c r="Q106" s="300">
        <f>+P106/I106</f>
        <v>0</v>
      </c>
      <c r="R106" s="201"/>
      <c r="T106" s="361"/>
      <c r="AY106" s="240"/>
    </row>
    <row r="107" spans="1:51" s="239" customFormat="1" ht="54.75" customHeight="1" x14ac:dyDescent="0.3">
      <c r="A107" s="362" t="s">
        <v>167</v>
      </c>
      <c r="B107" s="363" t="s">
        <v>168</v>
      </c>
      <c r="C107" s="363">
        <v>3</v>
      </c>
      <c r="D107" s="363" t="s">
        <v>170</v>
      </c>
      <c r="E107" s="276">
        <v>1205007</v>
      </c>
      <c r="F107" s="364" t="s">
        <v>59</v>
      </c>
      <c r="G107" s="364"/>
      <c r="H107" s="330" t="s">
        <v>285</v>
      </c>
      <c r="I107" s="270">
        <f>+'[2]EJ. DESAGREGADA'!T63</f>
        <v>4267568590</v>
      </c>
      <c r="J107" s="365">
        <f>+'[2]EJ. DESAGREGADA'!X63</f>
        <v>0</v>
      </c>
      <c r="K107" s="366">
        <f t="shared" si="37"/>
        <v>0</v>
      </c>
      <c r="L107" s="270">
        <f>+'[2]EJ. DESAGREGADA'!AB63-4097568590</f>
        <v>0</v>
      </c>
      <c r="M107" s="365">
        <f>+'[2]EJ. DESAGREGADA'!W63+4097568590</f>
        <v>4267568590</v>
      </c>
      <c r="N107" s="365">
        <f t="shared" si="40"/>
        <v>0</v>
      </c>
      <c r="O107" s="367">
        <f t="shared" si="27"/>
        <v>0</v>
      </c>
      <c r="P107" s="365">
        <f t="shared" si="40"/>
        <v>0</v>
      </c>
      <c r="Q107" s="368">
        <f t="shared" ref="Q107" si="41">+P107/I107</f>
        <v>0</v>
      </c>
      <c r="AY107" s="240"/>
    </row>
    <row r="108" spans="1:51" s="239" customFormat="1" ht="35.25" customHeight="1" x14ac:dyDescent="0.3">
      <c r="A108" s="360" t="s">
        <v>167</v>
      </c>
      <c r="B108" s="276" t="s">
        <v>168</v>
      </c>
      <c r="C108" s="276">
        <v>4</v>
      </c>
      <c r="D108" s="276" t="s">
        <v>170</v>
      </c>
      <c r="E108" s="276">
        <v>1205009</v>
      </c>
      <c r="F108" s="276"/>
      <c r="G108" s="276"/>
      <c r="H108" s="290" t="s">
        <v>293</v>
      </c>
      <c r="I108" s="302">
        <f>+I109</f>
        <v>5070000000</v>
      </c>
      <c r="J108" s="302">
        <f>+J109</f>
        <v>0</v>
      </c>
      <c r="K108" s="298">
        <f t="shared" si="37"/>
        <v>0</v>
      </c>
      <c r="L108" s="302">
        <f>+L109</f>
        <v>0</v>
      </c>
      <c r="M108" s="302">
        <f t="shared" si="40"/>
        <v>5070000000</v>
      </c>
      <c r="N108" s="302">
        <f t="shared" si="40"/>
        <v>0</v>
      </c>
      <c r="O108" s="299">
        <f t="shared" si="27"/>
        <v>0</v>
      </c>
      <c r="P108" s="302">
        <f>+P109</f>
        <v>0</v>
      </c>
      <c r="Q108" s="300">
        <f>+P108/I108</f>
        <v>0</v>
      </c>
      <c r="R108" s="201"/>
      <c r="T108" s="361"/>
      <c r="AY108" s="240"/>
    </row>
    <row r="109" spans="1:51" s="239" customFormat="1" ht="54.75" customHeight="1" x14ac:dyDescent="0.3">
      <c r="A109" s="362" t="s">
        <v>167</v>
      </c>
      <c r="B109" s="363" t="s">
        <v>168</v>
      </c>
      <c r="C109" s="363">
        <v>4</v>
      </c>
      <c r="D109" s="363" t="s">
        <v>170</v>
      </c>
      <c r="E109" s="363">
        <v>1205009</v>
      </c>
      <c r="F109" s="364" t="s">
        <v>59</v>
      </c>
      <c r="G109" s="364"/>
      <c r="H109" s="330" t="s">
        <v>186</v>
      </c>
      <c r="I109" s="270">
        <f>+'[2]EJ. DESAGREGADA'!T64</f>
        <v>5070000000</v>
      </c>
      <c r="J109" s="365">
        <f>+'[2]EJ. DESAGREGADA'!X64</f>
        <v>0</v>
      </c>
      <c r="K109" s="366">
        <f t="shared" si="37"/>
        <v>0</v>
      </c>
      <c r="L109" s="270">
        <f>+'[2]EJ. DESAGREGADA'!AB64-5070000000</f>
        <v>0</v>
      </c>
      <c r="M109" s="365">
        <f>+'[2]EJ. DESAGREGADA'!W64+5070000000</f>
        <v>5070000000</v>
      </c>
      <c r="N109" s="365">
        <f>+'[2]EJ. DESAGREGADA'!Y64</f>
        <v>0</v>
      </c>
      <c r="O109" s="367">
        <f t="shared" si="27"/>
        <v>0</v>
      </c>
      <c r="P109" s="365">
        <f>+'[2]EJ. DESAGREGADA'!AA64</f>
        <v>0</v>
      </c>
      <c r="Q109" s="368">
        <f t="shared" ref="Q109" si="42">+P109/I109</f>
        <v>0</v>
      </c>
      <c r="AY109" s="240"/>
    </row>
    <row r="110" spans="1:51" s="239" customFormat="1" ht="35.25" customHeight="1" x14ac:dyDescent="0.3">
      <c r="A110" s="360" t="s">
        <v>167</v>
      </c>
      <c r="B110" s="276" t="s">
        <v>168</v>
      </c>
      <c r="C110" s="276">
        <v>4</v>
      </c>
      <c r="D110" s="276" t="s">
        <v>170</v>
      </c>
      <c r="E110" s="276">
        <v>1205012</v>
      </c>
      <c r="F110" s="276"/>
      <c r="G110" s="276"/>
      <c r="H110" s="290" t="s">
        <v>294</v>
      </c>
      <c r="I110" s="302">
        <f>+I111</f>
        <v>6969782000</v>
      </c>
      <c r="J110" s="302">
        <f>+J111</f>
        <v>0</v>
      </c>
      <c r="K110" s="298">
        <f t="shared" si="37"/>
        <v>0</v>
      </c>
      <c r="L110" s="302">
        <f>+L111</f>
        <v>0</v>
      </c>
      <c r="M110" s="302">
        <f t="shared" si="40"/>
        <v>6969782000</v>
      </c>
      <c r="N110" s="302">
        <f t="shared" si="40"/>
        <v>0</v>
      </c>
      <c r="O110" s="299">
        <f t="shared" si="27"/>
        <v>0</v>
      </c>
      <c r="P110" s="302">
        <f>+P111</f>
        <v>0</v>
      </c>
      <c r="Q110" s="300">
        <f>+P110/I110</f>
        <v>0</v>
      </c>
      <c r="R110" s="201"/>
      <c r="T110" s="361"/>
      <c r="AY110" s="240"/>
    </row>
    <row r="111" spans="1:51" s="239" customFormat="1" ht="54.75" customHeight="1" x14ac:dyDescent="0.3">
      <c r="A111" s="362" t="s">
        <v>167</v>
      </c>
      <c r="B111" s="363" t="s">
        <v>168</v>
      </c>
      <c r="C111" s="363">
        <v>4</v>
      </c>
      <c r="D111" s="363" t="s">
        <v>170</v>
      </c>
      <c r="E111" s="363">
        <v>1205012</v>
      </c>
      <c r="F111" s="364" t="s">
        <v>59</v>
      </c>
      <c r="G111" s="364"/>
      <c r="H111" s="330" t="s">
        <v>189</v>
      </c>
      <c r="I111" s="270">
        <f>+'[2]EJ. DESAGREGADA'!T65</f>
        <v>6969782000</v>
      </c>
      <c r="J111" s="365">
        <f>+'[2]EJ. DESAGREGADA'!X65</f>
        <v>0</v>
      </c>
      <c r="K111" s="366">
        <f t="shared" si="37"/>
        <v>0</v>
      </c>
      <c r="L111" s="270">
        <f>+'[2]EJ. DESAGREGADA'!AB65-6969782000</f>
        <v>0</v>
      </c>
      <c r="M111" s="365">
        <f>+'[2]EJ. DESAGREGADA'!W65+6969782000</f>
        <v>6969782000</v>
      </c>
      <c r="N111" s="365">
        <f>+'[2]EJ. DESAGREGADA'!Y65</f>
        <v>0</v>
      </c>
      <c r="O111" s="367">
        <f t="shared" si="27"/>
        <v>0</v>
      </c>
      <c r="P111" s="365">
        <f>+'[2]EJ. DESAGREGADA'!AA65</f>
        <v>0</v>
      </c>
      <c r="Q111" s="368">
        <f t="shared" ref="Q111" si="43">+P111/I111</f>
        <v>0</v>
      </c>
      <c r="AY111" s="240"/>
    </row>
    <row r="112" spans="1:51" x14ac:dyDescent="0.3">
      <c r="A112" s="376"/>
      <c r="B112" s="377"/>
      <c r="C112" s="377"/>
      <c r="D112" s="377"/>
      <c r="E112" s="377"/>
      <c r="F112" s="378"/>
      <c r="G112" s="379"/>
      <c r="H112" s="380"/>
      <c r="I112" s="381"/>
      <c r="J112" s="381"/>
      <c r="K112" s="382"/>
      <c r="L112" s="381"/>
      <c r="M112" s="381"/>
      <c r="N112" s="381"/>
      <c r="O112" s="383"/>
      <c r="P112" s="381"/>
      <c r="Q112" s="384"/>
      <c r="R112" s="201"/>
      <c r="AY112" s="201"/>
    </row>
    <row r="113" spans="1:51" s="393" customFormat="1" ht="24" customHeight="1" thickBot="1" x14ac:dyDescent="0.35">
      <c r="A113" s="385" t="s">
        <v>166</v>
      </c>
      <c r="B113" s="386"/>
      <c r="C113" s="386"/>
      <c r="D113" s="386"/>
      <c r="E113" s="386"/>
      <c r="F113" s="386"/>
      <c r="G113" s="387"/>
      <c r="H113" s="388" t="s">
        <v>295</v>
      </c>
      <c r="I113" s="389">
        <f>+I93+I104</f>
        <v>22266327000</v>
      </c>
      <c r="J113" s="389">
        <f>+J93+J104</f>
        <v>2012933280</v>
      </c>
      <c r="K113" s="390">
        <f t="shared" si="32"/>
        <v>9.0402574254837803E-2</v>
      </c>
      <c r="L113" s="389">
        <f>+L104+L93</f>
        <v>3499575384</v>
      </c>
      <c r="M113" s="389">
        <f>+M104+M93</f>
        <v>16753818336</v>
      </c>
      <c r="N113" s="389">
        <f>+N104+N93</f>
        <v>0</v>
      </c>
      <c r="O113" s="391">
        <f t="shared" si="27"/>
        <v>0</v>
      </c>
      <c r="P113" s="389">
        <f>+P93</f>
        <v>0</v>
      </c>
      <c r="Q113" s="392">
        <f t="shared" si="33"/>
        <v>0</v>
      </c>
      <c r="AY113" s="394"/>
    </row>
    <row r="114" spans="1:51" ht="11.4" thickBot="1" x14ac:dyDescent="0.35">
      <c r="A114" s="395"/>
      <c r="B114" s="395"/>
      <c r="C114" s="395"/>
      <c r="D114" s="395"/>
      <c r="E114" s="395"/>
      <c r="F114" s="395"/>
      <c r="G114" s="395"/>
      <c r="H114" s="396"/>
      <c r="I114" s="238"/>
      <c r="J114" s="238"/>
      <c r="K114" s="397"/>
      <c r="L114" s="398"/>
      <c r="M114" s="398"/>
      <c r="N114" s="398"/>
      <c r="O114" s="398"/>
      <c r="P114" s="398"/>
      <c r="Q114" s="398"/>
    </row>
    <row r="115" spans="1:51" s="239" customFormat="1" ht="24" x14ac:dyDescent="0.3">
      <c r="A115" s="395"/>
      <c r="B115" s="395"/>
      <c r="C115" s="395"/>
      <c r="D115" s="395"/>
      <c r="E115" s="395"/>
      <c r="F115" s="395"/>
      <c r="G115" s="395"/>
      <c r="H115" s="399" t="s">
        <v>296</v>
      </c>
      <c r="I115" s="400"/>
      <c r="J115" s="400"/>
      <c r="K115" s="400"/>
      <c r="L115" s="400"/>
      <c r="M115" s="400"/>
      <c r="N115" s="400"/>
      <c r="O115" s="400"/>
      <c r="P115" s="400"/>
      <c r="Q115" s="401"/>
      <c r="AV115" s="240"/>
    </row>
    <row r="116" spans="1:51" s="239" customFormat="1" ht="46.5" customHeight="1" x14ac:dyDescent="0.3">
      <c r="A116" s="395"/>
      <c r="B116" s="395"/>
      <c r="C116" s="395"/>
      <c r="D116" s="395"/>
      <c r="E116" s="395"/>
      <c r="F116" s="395"/>
      <c r="G116" s="395"/>
      <c r="H116" s="402"/>
      <c r="I116" s="403" t="s">
        <v>258</v>
      </c>
      <c r="J116" s="403" t="s">
        <v>259</v>
      </c>
      <c r="K116" s="404" t="s">
        <v>260</v>
      </c>
      <c r="L116" s="403" t="s">
        <v>261</v>
      </c>
      <c r="M116" s="403" t="s">
        <v>262</v>
      </c>
      <c r="N116" s="403" t="s">
        <v>220</v>
      </c>
      <c r="O116" s="403" t="s">
        <v>263</v>
      </c>
      <c r="P116" s="403" t="s">
        <v>32</v>
      </c>
      <c r="Q116" s="405" t="s">
        <v>264</v>
      </c>
      <c r="R116" s="275"/>
      <c r="S116" s="201"/>
      <c r="AY116" s="240"/>
    </row>
    <row r="117" spans="1:51" s="239" customFormat="1" x14ac:dyDescent="0.3">
      <c r="A117" s="395"/>
      <c r="B117" s="395"/>
      <c r="C117" s="395"/>
      <c r="D117" s="395"/>
      <c r="E117" s="395"/>
      <c r="F117" s="395"/>
      <c r="G117" s="395"/>
      <c r="H117" s="406" t="s">
        <v>225</v>
      </c>
      <c r="I117" s="261">
        <f>+I8</f>
        <v>62473876000</v>
      </c>
      <c r="J117" s="261">
        <f>+J8</f>
        <v>8681847312</v>
      </c>
      <c r="K117" s="291">
        <f>+J117/I117</f>
        <v>0.13896764324339345</v>
      </c>
      <c r="L117" s="261">
        <f>+L8</f>
        <v>53792028688</v>
      </c>
      <c r="M117" s="278">
        <f>+M8</f>
        <v>0</v>
      </c>
      <c r="N117" s="261">
        <f>+N8</f>
        <v>8385725873</v>
      </c>
      <c r="O117" s="263">
        <f>+N117/I117</f>
        <v>0.13422771900690139</v>
      </c>
      <c r="P117" s="261">
        <f>+P8</f>
        <v>8385707473</v>
      </c>
      <c r="Q117" s="264">
        <f>+P117/I117</f>
        <v>0.13422742448379543</v>
      </c>
      <c r="R117" s="275"/>
      <c r="AY117" s="240"/>
    </row>
    <row r="118" spans="1:51" s="239" customFormat="1" x14ac:dyDescent="0.3">
      <c r="A118" s="395"/>
      <c r="B118" s="395"/>
      <c r="C118" s="395"/>
      <c r="D118" s="395"/>
      <c r="E118" s="395"/>
      <c r="F118" s="395"/>
      <c r="G118" s="395"/>
      <c r="H118" s="406" t="s">
        <v>297</v>
      </c>
      <c r="I118" s="261">
        <f>+I35</f>
        <v>170358209405</v>
      </c>
      <c r="J118" s="261">
        <f>+J35</f>
        <v>99458071531.869995</v>
      </c>
      <c r="K118" s="291">
        <f t="shared" ref="K118:K120" si="44">+J118/I118</f>
        <v>0.58381730988627611</v>
      </c>
      <c r="L118" s="261">
        <f>+L35</f>
        <v>8915296082.4099998</v>
      </c>
      <c r="M118" s="278">
        <f>+M35</f>
        <v>61984841790.720001</v>
      </c>
      <c r="N118" s="261">
        <f>+N35</f>
        <v>359691628.02999997</v>
      </c>
      <c r="O118" s="263">
        <f t="shared" ref="O118:O120" si="45">+N118/I118</f>
        <v>2.1113841785862482E-3</v>
      </c>
      <c r="P118" s="261">
        <f>+P35</f>
        <v>359691628.02999997</v>
      </c>
      <c r="Q118" s="264">
        <f t="shared" ref="Q118:Q120" si="46">+P118/I118</f>
        <v>2.1113841785862482E-3</v>
      </c>
      <c r="R118" s="275"/>
      <c r="AY118" s="240"/>
    </row>
    <row r="119" spans="1:51" s="239" customFormat="1" x14ac:dyDescent="0.3">
      <c r="A119" s="395"/>
      <c r="B119" s="395"/>
      <c r="C119" s="395"/>
      <c r="D119" s="395"/>
      <c r="E119" s="395"/>
      <c r="F119" s="395"/>
      <c r="G119" s="395"/>
      <c r="H119" s="406" t="s">
        <v>227</v>
      </c>
      <c r="I119" s="261">
        <f>+I78</f>
        <v>2578124000</v>
      </c>
      <c r="J119" s="261">
        <f>+J78</f>
        <v>2106370044</v>
      </c>
      <c r="K119" s="291">
        <f t="shared" si="44"/>
        <v>0.81701657639430847</v>
      </c>
      <c r="L119" s="261">
        <f>+L78</f>
        <v>274753956</v>
      </c>
      <c r="M119" s="278">
        <f>+M78</f>
        <v>197000000</v>
      </c>
      <c r="N119" s="278">
        <f>+N78</f>
        <v>136069996.15000001</v>
      </c>
      <c r="O119" s="263">
        <f t="shared" si="45"/>
        <v>5.2778685645065951E-2</v>
      </c>
      <c r="P119" s="261">
        <f>+P78</f>
        <v>136069996.15000001</v>
      </c>
      <c r="Q119" s="264">
        <f t="shared" si="46"/>
        <v>5.2778685645065951E-2</v>
      </c>
      <c r="R119" s="275"/>
      <c r="AY119" s="240"/>
    </row>
    <row r="120" spans="1:51" s="239" customFormat="1" x14ac:dyDescent="0.3">
      <c r="A120" s="395"/>
      <c r="B120" s="395"/>
      <c r="C120" s="395"/>
      <c r="D120" s="395"/>
      <c r="E120" s="395"/>
      <c r="F120" s="395"/>
      <c r="G120" s="395"/>
      <c r="H120" s="406" t="s">
        <v>298</v>
      </c>
      <c r="I120" s="261">
        <f>+I89</f>
        <v>309000000</v>
      </c>
      <c r="J120" s="261">
        <f>+J89</f>
        <v>0</v>
      </c>
      <c r="K120" s="291">
        <f t="shared" si="44"/>
        <v>0</v>
      </c>
      <c r="L120" s="261">
        <f>+L89</f>
        <v>0</v>
      </c>
      <c r="M120" s="278">
        <f>+M89</f>
        <v>309000000</v>
      </c>
      <c r="N120" s="278">
        <f>+N89</f>
        <v>0</v>
      </c>
      <c r="O120" s="263">
        <f t="shared" si="45"/>
        <v>0</v>
      </c>
      <c r="P120" s="261">
        <f>+P89</f>
        <v>0</v>
      </c>
      <c r="Q120" s="264">
        <f t="shared" si="46"/>
        <v>0</v>
      </c>
      <c r="R120" s="275"/>
      <c r="AY120" s="240"/>
    </row>
    <row r="121" spans="1:51" s="239" customFormat="1" x14ac:dyDescent="0.3">
      <c r="A121" s="395"/>
      <c r="B121" s="395"/>
      <c r="C121" s="395"/>
      <c r="D121" s="395"/>
      <c r="E121" s="395"/>
      <c r="F121" s="395"/>
      <c r="G121" s="395"/>
      <c r="H121" s="407" t="s">
        <v>245</v>
      </c>
      <c r="I121" s="408">
        <f>SUM(I117:I120)</f>
        <v>235719209405</v>
      </c>
      <c r="J121" s="408">
        <f>SUM(J117:J120)</f>
        <v>110246288887.87</v>
      </c>
      <c r="K121" s="409">
        <f>+J121/I121</f>
        <v>0.46770175908086803</v>
      </c>
      <c r="L121" s="408">
        <f>SUM(L117:L120)</f>
        <v>62982078726.410004</v>
      </c>
      <c r="M121" s="408">
        <f t="shared" ref="M121:P121" si="47">SUM(M117:M120)</f>
        <v>62490841790.720001</v>
      </c>
      <c r="N121" s="408">
        <f t="shared" si="47"/>
        <v>8881487497.1800003</v>
      </c>
      <c r="O121" s="410">
        <f>+N121/I121</f>
        <v>3.7678250829020508E-2</v>
      </c>
      <c r="P121" s="408">
        <f t="shared" si="47"/>
        <v>8881469097.1800003</v>
      </c>
      <c r="Q121" s="411">
        <f>+P121/I121</f>
        <v>3.7678172770044975E-2</v>
      </c>
      <c r="R121" s="275"/>
      <c r="AY121" s="240"/>
    </row>
    <row r="122" spans="1:51" x14ac:dyDescent="0.3">
      <c r="A122" s="395"/>
      <c r="B122" s="395"/>
      <c r="C122" s="395"/>
      <c r="D122" s="395"/>
      <c r="E122" s="395"/>
      <c r="F122" s="395"/>
      <c r="G122" s="395"/>
      <c r="H122" s="407" t="s">
        <v>246</v>
      </c>
      <c r="I122" s="408">
        <f>+I113</f>
        <v>22266327000</v>
      </c>
      <c r="J122" s="408">
        <f>+J113</f>
        <v>2012933280</v>
      </c>
      <c r="K122" s="409">
        <f>+J122/I122</f>
        <v>9.0402574254837803E-2</v>
      </c>
      <c r="L122" s="408">
        <f>+L113</f>
        <v>3499575384</v>
      </c>
      <c r="M122" s="408">
        <f>+M113</f>
        <v>16753818336</v>
      </c>
      <c r="N122" s="408">
        <f t="shared" ref="N122:P122" si="48">+N113</f>
        <v>0</v>
      </c>
      <c r="O122" s="410">
        <f>+N122/I122</f>
        <v>0</v>
      </c>
      <c r="P122" s="408">
        <f t="shared" si="48"/>
        <v>0</v>
      </c>
      <c r="Q122" s="411">
        <f>+P122/I122</f>
        <v>0</v>
      </c>
    </row>
    <row r="123" spans="1:51" ht="14.4" thickBot="1" x14ac:dyDescent="0.35">
      <c r="A123" s="395"/>
      <c r="B123" s="395"/>
      <c r="C123" s="395"/>
      <c r="D123" s="395"/>
      <c r="E123" s="395"/>
      <c r="F123" s="395"/>
      <c r="G123" s="395"/>
      <c r="H123" s="412" t="s">
        <v>299</v>
      </c>
      <c r="I123" s="389">
        <f>+I121+I122</f>
        <v>257985536405</v>
      </c>
      <c r="J123" s="389">
        <f t="shared" ref="J123:P123" si="49">+J121+J122</f>
        <v>112259222167.87</v>
      </c>
      <c r="K123" s="413">
        <f>+J123/I123</f>
        <v>0.43513765822762734</v>
      </c>
      <c r="L123" s="389">
        <f>+L121+L122</f>
        <v>66481654110.410004</v>
      </c>
      <c r="M123" s="389">
        <f t="shared" si="49"/>
        <v>79244660126.720001</v>
      </c>
      <c r="N123" s="389">
        <f t="shared" si="49"/>
        <v>8881487497.1800003</v>
      </c>
      <c r="O123" s="414">
        <f>+N123/I123</f>
        <v>3.4426300097837072E-2</v>
      </c>
      <c r="P123" s="389">
        <f t="shared" si="49"/>
        <v>8881469097.1800003</v>
      </c>
      <c r="Q123" s="414">
        <f>+P123/I123</f>
        <v>3.4426228776009281E-2</v>
      </c>
    </row>
    <row r="124" spans="1:51" x14ac:dyDescent="0.3">
      <c r="A124" s="415" t="s">
        <v>300</v>
      </c>
      <c r="B124" s="415"/>
      <c r="C124" s="415"/>
      <c r="D124" s="415"/>
      <c r="E124" s="415"/>
      <c r="F124" s="415"/>
      <c r="G124" s="395"/>
      <c r="H124" s="416"/>
      <c r="I124" s="292"/>
      <c r="J124" s="292"/>
      <c r="K124" s="417"/>
      <c r="L124" s="292"/>
      <c r="M124" s="238"/>
      <c r="N124" s="292"/>
      <c r="O124" s="292"/>
      <c r="P124" s="292"/>
      <c r="Q124" s="292"/>
      <c r="R124" s="201"/>
    </row>
    <row r="125" spans="1:51" x14ac:dyDescent="0.3">
      <c r="B125" s="395"/>
      <c r="C125" s="395"/>
      <c r="D125" s="395"/>
      <c r="E125" s="395"/>
      <c r="F125" s="395"/>
      <c r="G125" s="395"/>
      <c r="H125" s="416"/>
      <c r="I125" s="418"/>
      <c r="J125" s="292"/>
      <c r="K125" s="417"/>
      <c r="L125" s="292"/>
      <c r="M125" s="238"/>
      <c r="N125" s="292"/>
      <c r="O125" s="292"/>
      <c r="P125" s="292"/>
      <c r="Q125" s="292"/>
      <c r="AX125" s="202"/>
      <c r="AY125" s="201"/>
    </row>
    <row r="126" spans="1:51" x14ac:dyDescent="0.3">
      <c r="A126" s="395"/>
      <c r="B126" s="395"/>
      <c r="C126" s="395"/>
      <c r="D126" s="395"/>
      <c r="E126" s="395"/>
      <c r="F126" s="395"/>
      <c r="G126" s="395"/>
      <c r="H126" s="416"/>
      <c r="I126" s="292"/>
      <c r="J126" s="292"/>
      <c r="K126" s="417"/>
      <c r="L126" s="292"/>
      <c r="M126" s="238"/>
      <c r="N126" s="292"/>
      <c r="O126" s="292"/>
      <c r="P126" s="292"/>
      <c r="Q126" s="292"/>
      <c r="R126" s="201"/>
    </row>
    <row r="127" spans="1:51" x14ac:dyDescent="0.3">
      <c r="A127" s="395"/>
      <c r="B127" s="395"/>
      <c r="C127" s="395"/>
      <c r="D127" s="395"/>
      <c r="E127" s="395"/>
      <c r="F127" s="395"/>
      <c r="G127" s="395"/>
      <c r="H127" s="416"/>
      <c r="I127" s="292"/>
      <c r="J127" s="292"/>
      <c r="K127" s="417"/>
      <c r="L127" s="292"/>
      <c r="M127" s="238"/>
      <c r="N127" s="292"/>
      <c r="O127" s="292"/>
      <c r="P127" s="292"/>
      <c r="Q127" s="292"/>
      <c r="R127" s="201"/>
      <c r="AY127" s="201"/>
    </row>
    <row r="128" spans="1:51" x14ac:dyDescent="0.3">
      <c r="A128" s="395"/>
      <c r="B128" s="395"/>
      <c r="C128" s="395"/>
      <c r="D128" s="395"/>
      <c r="E128" s="395"/>
      <c r="F128" s="395"/>
      <c r="G128" s="395"/>
      <c r="H128" s="416"/>
      <c r="I128" s="292"/>
      <c r="J128" s="292"/>
      <c r="K128" s="417"/>
      <c r="L128" s="292"/>
      <c r="M128" s="238"/>
      <c r="N128" s="292"/>
      <c r="O128" s="292"/>
      <c r="P128" s="292"/>
      <c r="Q128" s="292"/>
      <c r="R128" s="201"/>
      <c r="AY128" s="201"/>
    </row>
    <row r="129" spans="1:51" x14ac:dyDescent="0.3">
      <c r="A129" s="395"/>
      <c r="B129" s="395"/>
      <c r="C129" s="395"/>
      <c r="D129" s="395"/>
      <c r="E129" s="395"/>
      <c r="F129" s="395"/>
      <c r="G129" s="395"/>
      <c r="H129" s="416"/>
      <c r="I129" s="292"/>
      <c r="J129" s="292"/>
      <c r="K129" s="417"/>
      <c r="L129" s="292"/>
      <c r="M129" s="238"/>
      <c r="N129" s="292"/>
      <c r="O129" s="292"/>
      <c r="P129" s="292"/>
      <c r="Q129" s="292"/>
      <c r="R129" s="201"/>
      <c r="AY129" s="201"/>
    </row>
    <row r="130" spans="1:51" x14ac:dyDescent="0.3">
      <c r="A130" s="395"/>
      <c r="B130" s="395"/>
      <c r="C130" s="395"/>
      <c r="D130" s="395"/>
      <c r="E130" s="395"/>
      <c r="F130" s="395"/>
      <c r="G130" s="395"/>
      <c r="H130" s="416"/>
      <c r="I130" s="292"/>
      <c r="J130" s="292"/>
      <c r="K130" s="417"/>
      <c r="L130" s="292"/>
      <c r="M130" s="238"/>
      <c r="N130" s="292"/>
      <c r="O130" s="292"/>
      <c r="P130" s="292"/>
      <c r="Q130" s="292"/>
      <c r="AX130" s="202"/>
      <c r="AY130" s="201"/>
    </row>
    <row r="131" spans="1:51" x14ac:dyDescent="0.3">
      <c r="A131" s="395"/>
      <c r="B131" s="395"/>
      <c r="C131" s="395"/>
      <c r="D131" s="395"/>
      <c r="E131" s="395"/>
      <c r="F131" s="395"/>
      <c r="G131" s="395"/>
      <c r="H131" s="416"/>
      <c r="I131" s="292"/>
      <c r="J131" s="292"/>
      <c r="K131" s="417"/>
      <c r="L131" s="292"/>
      <c r="M131" s="238"/>
      <c r="N131" s="292"/>
      <c r="O131" s="292"/>
      <c r="P131" s="292"/>
      <c r="Q131" s="292"/>
    </row>
    <row r="132" spans="1:51" x14ac:dyDescent="0.3">
      <c r="I132" s="201"/>
      <c r="J132" s="201"/>
      <c r="K132" s="420"/>
      <c r="L132" s="421"/>
      <c r="N132" s="201"/>
      <c r="O132" s="201"/>
      <c r="P132" s="201"/>
      <c r="Q132" s="201"/>
    </row>
    <row r="133" spans="1:51" x14ac:dyDescent="0.3">
      <c r="A133" s="422"/>
      <c r="B133" s="422"/>
      <c r="C133" s="422"/>
      <c r="D133" s="422"/>
      <c r="E133" s="422"/>
      <c r="F133" s="422"/>
      <c r="G133" s="422"/>
      <c r="H133" s="423"/>
      <c r="I133" s="424"/>
      <c r="J133" s="424"/>
      <c r="K133" s="424"/>
      <c r="L133" s="424"/>
      <c r="M133" s="424"/>
      <c r="N133" s="425"/>
      <c r="O133" s="425"/>
      <c r="P133" s="426"/>
      <c r="Q133" s="426"/>
    </row>
    <row r="134" spans="1:51" ht="15" x14ac:dyDescent="0.3">
      <c r="A134" s="427" t="s">
        <v>301</v>
      </c>
      <c r="B134" s="427"/>
      <c r="C134" s="427"/>
      <c r="D134" s="427"/>
      <c r="E134" s="427"/>
      <c r="F134" s="427"/>
      <c r="G134" s="427"/>
      <c r="H134" s="427"/>
      <c r="I134" s="427"/>
      <c r="J134" s="427"/>
      <c r="K134" s="427"/>
      <c r="L134" s="427"/>
      <c r="M134" s="427"/>
      <c r="N134" s="427"/>
      <c r="O134" s="427"/>
      <c r="P134" s="427"/>
      <c r="Q134" s="427"/>
    </row>
    <row r="136" spans="1:51" x14ac:dyDescent="0.3">
      <c r="I136" s="428"/>
      <c r="J136" s="428"/>
      <c r="K136" s="429"/>
      <c r="L136" s="430"/>
      <c r="M136" s="431"/>
    </row>
    <row r="137" spans="1:51" x14ac:dyDescent="0.3">
      <c r="H137" s="434"/>
      <c r="I137" s="428"/>
      <c r="J137" s="428"/>
      <c r="K137" s="429"/>
      <c r="L137" s="428"/>
      <c r="M137" s="431"/>
    </row>
    <row r="139" spans="1:51" x14ac:dyDescent="0.3">
      <c r="H139" s="434"/>
      <c r="I139" s="428"/>
      <c r="J139" s="428"/>
      <c r="K139" s="429"/>
      <c r="L139" s="428"/>
      <c r="M139" s="431"/>
    </row>
    <row r="140" spans="1:51" x14ac:dyDescent="0.3">
      <c r="H140" s="434"/>
      <c r="I140" s="428"/>
      <c r="J140" s="428"/>
      <c r="K140" s="429"/>
      <c r="L140" s="428"/>
      <c r="M140" s="431"/>
    </row>
    <row r="141" spans="1:51" x14ac:dyDescent="0.3">
      <c r="H141" s="435"/>
      <c r="J141" s="428"/>
      <c r="K141" s="429"/>
      <c r="L141" s="428"/>
      <c r="M141" s="431"/>
    </row>
    <row r="142" spans="1:51" x14ac:dyDescent="0.3">
      <c r="H142" s="435"/>
      <c r="J142" s="428"/>
      <c r="K142" s="429"/>
    </row>
    <row r="150" spans="2:7" x14ac:dyDescent="0.3">
      <c r="B150" s="436"/>
      <c r="C150" s="436"/>
      <c r="D150" s="436"/>
      <c r="E150" s="436"/>
      <c r="F150" s="436"/>
      <c r="G150" s="436"/>
    </row>
    <row r="151" spans="2:7" x14ac:dyDescent="0.3">
      <c r="B151" s="436"/>
      <c r="C151" s="436"/>
      <c r="D151" s="436"/>
      <c r="E151" s="436"/>
      <c r="F151" s="438"/>
      <c r="G151" s="438"/>
    </row>
    <row r="152" spans="2:7" x14ac:dyDescent="0.3">
      <c r="B152" s="439"/>
      <c r="C152" s="439"/>
      <c r="D152" s="438"/>
      <c r="E152" s="438"/>
      <c r="F152" s="440"/>
      <c r="G152" s="440"/>
    </row>
    <row r="153" spans="2:7" x14ac:dyDescent="0.3">
      <c r="B153" s="439"/>
      <c r="C153" s="436"/>
      <c r="D153" s="440"/>
      <c r="E153" s="440"/>
    </row>
  </sheetData>
  <mergeCells count="27">
    <mergeCell ref="A113:G113"/>
    <mergeCell ref="H115:Q115"/>
    <mergeCell ref="A124:F124"/>
    <mergeCell ref="A133:Q133"/>
    <mergeCell ref="A134:Q134"/>
    <mergeCell ref="M6:M7"/>
    <mergeCell ref="N6:N7"/>
    <mergeCell ref="O6:O7"/>
    <mergeCell ref="P6:P7"/>
    <mergeCell ref="Q6:Q7"/>
    <mergeCell ref="A92:G92"/>
    <mergeCell ref="G6:G7"/>
    <mergeCell ref="H6:H7"/>
    <mergeCell ref="I6:I7"/>
    <mergeCell ref="J6:J7"/>
    <mergeCell ref="K6:K7"/>
    <mergeCell ref="L6:L7"/>
    <mergeCell ref="A1:Q2"/>
    <mergeCell ref="A3:Q3"/>
    <mergeCell ref="A4:Q4"/>
    <mergeCell ref="A5:H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opLeftCell="A22" workbookViewId="0">
      <selection activeCell="A59" sqref="A59:XFD59"/>
    </sheetView>
  </sheetViews>
  <sheetFormatPr baseColWidth="10" defaultColWidth="11.5546875" defaultRowHeight="14.4" x14ac:dyDescent="0.3"/>
  <cols>
    <col min="1" max="1" width="13.44140625" style="151" customWidth="1"/>
    <col min="2" max="2" width="26.88671875" style="151" customWidth="1"/>
    <col min="3" max="3" width="21.5546875" style="151" customWidth="1"/>
    <col min="4" max="11" width="5.44140625" style="151" customWidth="1"/>
    <col min="12" max="12" width="7" style="151" customWidth="1"/>
    <col min="13" max="13" width="9.6640625" style="151" customWidth="1"/>
    <col min="14" max="14" width="8.109375" style="151" customWidth="1"/>
    <col min="15" max="15" width="9.6640625" style="151" customWidth="1"/>
    <col min="16" max="16" width="27.6640625" style="151" customWidth="1"/>
    <col min="17" max="27" width="18.88671875" style="151" customWidth="1"/>
    <col min="28" max="28" width="11.6640625" style="151" bestFit="1" customWidth="1"/>
    <col min="29" max="29" width="6.44140625" style="151" customWidth="1"/>
    <col min="30" max="16384" width="11.5546875" style="151"/>
  </cols>
  <sheetData>
    <row r="1" spans="1:28" x14ac:dyDescent="0.3">
      <c r="A1" s="149" t="s">
        <v>0</v>
      </c>
      <c r="B1" s="149">
        <v>2026</v>
      </c>
      <c r="C1" s="150" t="s">
        <v>1</v>
      </c>
      <c r="D1" s="150" t="s">
        <v>1</v>
      </c>
      <c r="E1" s="150" t="s">
        <v>1</v>
      </c>
      <c r="F1" s="150" t="s">
        <v>1</v>
      </c>
      <c r="G1" s="150" t="s">
        <v>1</v>
      </c>
      <c r="H1" s="150" t="s">
        <v>1</v>
      </c>
      <c r="I1" s="150" t="s">
        <v>1</v>
      </c>
      <c r="J1" s="150" t="s">
        <v>1</v>
      </c>
      <c r="K1" s="150" t="s">
        <v>1</v>
      </c>
      <c r="L1" s="150" t="s">
        <v>1</v>
      </c>
      <c r="M1" s="150" t="s">
        <v>1</v>
      </c>
      <c r="N1" s="150" t="s">
        <v>1</v>
      </c>
      <c r="O1" s="150" t="s">
        <v>1</v>
      </c>
      <c r="P1" s="150" t="s">
        <v>1</v>
      </c>
      <c r="Q1" s="150" t="s">
        <v>1</v>
      </c>
      <c r="R1" s="150" t="s">
        <v>1</v>
      </c>
      <c r="S1" s="150" t="s">
        <v>1</v>
      </c>
      <c r="T1" s="150" t="s">
        <v>1</v>
      </c>
      <c r="U1" s="150" t="s">
        <v>1</v>
      </c>
      <c r="V1" s="150" t="s">
        <v>1</v>
      </c>
      <c r="W1" s="150" t="s">
        <v>1</v>
      </c>
      <c r="X1" s="150" t="s">
        <v>1</v>
      </c>
      <c r="Y1" s="150" t="s">
        <v>1</v>
      </c>
      <c r="Z1" s="150" t="s">
        <v>1</v>
      </c>
      <c r="AA1" s="150" t="s">
        <v>1</v>
      </c>
    </row>
    <row r="2" spans="1:28" x14ac:dyDescent="0.3">
      <c r="A2" s="149" t="s">
        <v>2</v>
      </c>
      <c r="B2" s="149" t="s">
        <v>3</v>
      </c>
      <c r="C2" s="150" t="s">
        <v>1</v>
      </c>
      <c r="D2" s="150" t="s">
        <v>1</v>
      </c>
      <c r="E2" s="150" t="s">
        <v>1</v>
      </c>
      <c r="F2" s="150" t="s">
        <v>1</v>
      </c>
      <c r="G2" s="150" t="s">
        <v>1</v>
      </c>
      <c r="H2" s="150" t="s">
        <v>1</v>
      </c>
      <c r="I2" s="150" t="s">
        <v>1</v>
      </c>
      <c r="J2" s="150" t="s">
        <v>1</v>
      </c>
      <c r="K2" s="150" t="s">
        <v>1</v>
      </c>
      <c r="L2" s="150" t="s">
        <v>1</v>
      </c>
      <c r="M2" s="150" t="s">
        <v>1</v>
      </c>
      <c r="N2" s="150" t="s">
        <v>1</v>
      </c>
      <c r="O2" s="150" t="s">
        <v>1</v>
      </c>
      <c r="P2" s="150" t="s">
        <v>1</v>
      </c>
      <c r="Q2" s="150" t="s">
        <v>1</v>
      </c>
      <c r="R2" s="150" t="s">
        <v>1</v>
      </c>
      <c r="S2" s="150" t="s">
        <v>1</v>
      </c>
      <c r="T2" s="150" t="s">
        <v>1</v>
      </c>
      <c r="U2" s="150" t="s">
        <v>1</v>
      </c>
      <c r="V2" s="150" t="s">
        <v>1</v>
      </c>
      <c r="W2" s="150" t="s">
        <v>1</v>
      </c>
      <c r="X2" s="150" t="s">
        <v>1</v>
      </c>
      <c r="Y2" s="150" t="s">
        <v>1</v>
      </c>
      <c r="Z2" s="150" t="s">
        <v>1</v>
      </c>
      <c r="AA2" s="150" t="s">
        <v>1</v>
      </c>
    </row>
    <row r="3" spans="1:28" x14ac:dyDescent="0.3">
      <c r="A3" s="149" t="s">
        <v>4</v>
      </c>
      <c r="B3" s="149" t="s">
        <v>5</v>
      </c>
      <c r="C3" s="150" t="s">
        <v>1</v>
      </c>
      <c r="D3" s="150" t="s">
        <v>1</v>
      </c>
      <c r="E3" s="150" t="s">
        <v>1</v>
      </c>
      <c r="F3" s="150" t="s">
        <v>1</v>
      </c>
      <c r="G3" s="150" t="s">
        <v>1</v>
      </c>
      <c r="H3" s="150" t="s">
        <v>1</v>
      </c>
      <c r="I3" s="150" t="s">
        <v>1</v>
      </c>
      <c r="J3" s="150" t="s">
        <v>1</v>
      </c>
      <c r="K3" s="150" t="s">
        <v>1</v>
      </c>
      <c r="L3" s="150" t="s">
        <v>1</v>
      </c>
      <c r="M3" s="150" t="s">
        <v>1</v>
      </c>
      <c r="N3" s="150" t="s">
        <v>1</v>
      </c>
      <c r="O3" s="150" t="s">
        <v>1</v>
      </c>
      <c r="P3" s="150" t="s">
        <v>1</v>
      </c>
      <c r="Q3" s="150" t="s">
        <v>1</v>
      </c>
      <c r="R3" s="150" t="s">
        <v>1</v>
      </c>
      <c r="S3" s="150" t="s">
        <v>1</v>
      </c>
      <c r="T3" s="150" t="s">
        <v>1</v>
      </c>
      <c r="U3" s="150" t="s">
        <v>1</v>
      </c>
      <c r="V3" s="150" t="s">
        <v>1</v>
      </c>
      <c r="W3" s="150" t="s">
        <v>1</v>
      </c>
      <c r="X3" s="150" t="s">
        <v>1</v>
      </c>
      <c r="Y3" s="150" t="s">
        <v>1</v>
      </c>
      <c r="Z3" s="150" t="s">
        <v>1</v>
      </c>
      <c r="AA3" s="150" t="s">
        <v>1</v>
      </c>
    </row>
    <row r="4" spans="1:28" x14ac:dyDescent="0.3">
      <c r="A4" s="149" t="s">
        <v>6</v>
      </c>
      <c r="B4" s="149" t="s">
        <v>7</v>
      </c>
      <c r="C4" s="149" t="s">
        <v>8</v>
      </c>
      <c r="D4" s="149" t="s">
        <v>9</v>
      </c>
      <c r="E4" s="149" t="s">
        <v>10</v>
      </c>
      <c r="F4" s="149" t="s">
        <v>11</v>
      </c>
      <c r="G4" s="149" t="s">
        <v>12</v>
      </c>
      <c r="H4" s="149" t="s">
        <v>13</v>
      </c>
      <c r="I4" s="149" t="s">
        <v>14</v>
      </c>
      <c r="J4" s="149" t="s">
        <v>15</v>
      </c>
      <c r="K4" s="149" t="s">
        <v>16</v>
      </c>
      <c r="L4" s="149" t="s">
        <v>17</v>
      </c>
      <c r="M4" s="149" t="s">
        <v>18</v>
      </c>
      <c r="N4" s="149" t="s">
        <v>19</v>
      </c>
      <c r="O4" s="149" t="s">
        <v>20</v>
      </c>
      <c r="P4" s="149" t="s">
        <v>21</v>
      </c>
      <c r="Q4" s="149" t="s">
        <v>22</v>
      </c>
      <c r="R4" s="149" t="s">
        <v>23</v>
      </c>
      <c r="S4" s="149" t="s">
        <v>24</v>
      </c>
      <c r="T4" s="149" t="s">
        <v>25</v>
      </c>
      <c r="U4" s="149" t="s">
        <v>26</v>
      </c>
      <c r="V4" s="149" t="s">
        <v>27</v>
      </c>
      <c r="W4" s="149" t="s">
        <v>28</v>
      </c>
      <c r="X4" s="149" t="s">
        <v>29</v>
      </c>
      <c r="Y4" s="149" t="s">
        <v>30</v>
      </c>
      <c r="Z4" s="149" t="s">
        <v>31</v>
      </c>
      <c r="AA4" s="149" t="s">
        <v>32</v>
      </c>
    </row>
    <row r="5" spans="1:28" x14ac:dyDescent="0.3">
      <c r="A5" s="152" t="s">
        <v>33</v>
      </c>
      <c r="B5" s="153" t="s">
        <v>34</v>
      </c>
      <c r="C5" s="154" t="s">
        <v>35</v>
      </c>
      <c r="D5" s="152" t="s">
        <v>36</v>
      </c>
      <c r="E5" s="152" t="s">
        <v>37</v>
      </c>
      <c r="F5" s="152" t="s">
        <v>37</v>
      </c>
      <c r="G5" s="152" t="s">
        <v>37</v>
      </c>
      <c r="H5" s="152" t="s">
        <v>38</v>
      </c>
      <c r="I5" s="152" t="s">
        <v>38</v>
      </c>
      <c r="J5" s="152"/>
      <c r="K5" s="152"/>
      <c r="L5" s="152"/>
      <c r="M5" s="152" t="s">
        <v>39</v>
      </c>
      <c r="N5" s="152" t="s">
        <v>40</v>
      </c>
      <c r="O5" s="152" t="s">
        <v>41</v>
      </c>
      <c r="P5" s="153" t="s">
        <v>42</v>
      </c>
      <c r="Q5" s="155">
        <v>27261618200</v>
      </c>
      <c r="R5" s="155">
        <v>0</v>
      </c>
      <c r="S5" s="155">
        <v>0</v>
      </c>
      <c r="T5" s="155">
        <v>27261618200</v>
      </c>
      <c r="U5" s="155">
        <v>0</v>
      </c>
      <c r="V5" s="155">
        <v>27261618200</v>
      </c>
      <c r="W5" s="155">
        <v>0</v>
      </c>
      <c r="X5" s="155">
        <v>2121134920</v>
      </c>
      <c r="Y5" s="155">
        <v>2121134920</v>
      </c>
      <c r="Z5" s="155">
        <v>2121134920</v>
      </c>
      <c r="AA5" s="155">
        <v>2121134920</v>
      </c>
      <c r="AB5" s="155">
        <f>+V5-X5</f>
        <v>25140483280</v>
      </c>
    </row>
    <row r="6" spans="1:28" x14ac:dyDescent="0.3">
      <c r="A6" s="152" t="s">
        <v>33</v>
      </c>
      <c r="B6" s="153" t="s">
        <v>34</v>
      </c>
      <c r="C6" s="154" t="s">
        <v>43</v>
      </c>
      <c r="D6" s="152" t="s">
        <v>36</v>
      </c>
      <c r="E6" s="152" t="s">
        <v>37</v>
      </c>
      <c r="F6" s="152" t="s">
        <v>37</v>
      </c>
      <c r="G6" s="152" t="s">
        <v>37</v>
      </c>
      <c r="H6" s="152" t="s">
        <v>38</v>
      </c>
      <c r="I6" s="152" t="s">
        <v>44</v>
      </c>
      <c r="J6" s="152"/>
      <c r="K6" s="152"/>
      <c r="L6" s="152"/>
      <c r="M6" s="152" t="s">
        <v>39</v>
      </c>
      <c r="N6" s="152" t="s">
        <v>40</v>
      </c>
      <c r="O6" s="152" t="s">
        <v>41</v>
      </c>
      <c r="P6" s="153" t="s">
        <v>45</v>
      </c>
      <c r="Q6" s="155">
        <v>6587557100</v>
      </c>
      <c r="R6" s="155">
        <v>0</v>
      </c>
      <c r="S6" s="155">
        <v>0</v>
      </c>
      <c r="T6" s="155">
        <v>6587557100</v>
      </c>
      <c r="U6" s="155">
        <v>0</v>
      </c>
      <c r="V6" s="155">
        <v>6587557100</v>
      </c>
      <c r="W6" s="155">
        <v>0</v>
      </c>
      <c r="X6" s="155">
        <v>521376354</v>
      </c>
      <c r="Y6" s="155">
        <v>521376354</v>
      </c>
      <c r="Z6" s="155">
        <v>521376354</v>
      </c>
      <c r="AA6" s="155">
        <v>521376354</v>
      </c>
      <c r="AB6" s="155">
        <f t="shared" ref="AB6:AB65" si="0">+V6-X6</f>
        <v>6066180746</v>
      </c>
    </row>
    <row r="7" spans="1:28" x14ac:dyDescent="0.3">
      <c r="A7" s="152" t="s">
        <v>33</v>
      </c>
      <c r="B7" s="153" t="s">
        <v>34</v>
      </c>
      <c r="C7" s="154" t="s">
        <v>46</v>
      </c>
      <c r="D7" s="152" t="s">
        <v>36</v>
      </c>
      <c r="E7" s="152" t="s">
        <v>37</v>
      </c>
      <c r="F7" s="152" t="s">
        <v>37</v>
      </c>
      <c r="G7" s="152" t="s">
        <v>37</v>
      </c>
      <c r="H7" s="152" t="s">
        <v>38</v>
      </c>
      <c r="I7" s="152" t="s">
        <v>47</v>
      </c>
      <c r="J7" s="152"/>
      <c r="K7" s="152"/>
      <c r="L7" s="152"/>
      <c r="M7" s="152" t="s">
        <v>39</v>
      </c>
      <c r="N7" s="152" t="s">
        <v>40</v>
      </c>
      <c r="O7" s="152" t="s">
        <v>41</v>
      </c>
      <c r="P7" s="153" t="s">
        <v>48</v>
      </c>
      <c r="Q7" s="155">
        <v>2047729700</v>
      </c>
      <c r="R7" s="155">
        <v>0</v>
      </c>
      <c r="S7" s="155">
        <v>0</v>
      </c>
      <c r="T7" s="155">
        <v>2047729700</v>
      </c>
      <c r="U7" s="155">
        <v>0</v>
      </c>
      <c r="V7" s="155">
        <v>2047729700</v>
      </c>
      <c r="W7" s="155">
        <v>0</v>
      </c>
      <c r="X7" s="155">
        <v>7102334</v>
      </c>
      <c r="Y7" s="155">
        <v>0</v>
      </c>
      <c r="Z7" s="155">
        <v>0</v>
      </c>
      <c r="AA7" s="155">
        <v>0</v>
      </c>
      <c r="AB7" s="155">
        <f t="shared" si="0"/>
        <v>2040627366</v>
      </c>
    </row>
    <row r="8" spans="1:28" x14ac:dyDescent="0.3">
      <c r="A8" s="152" t="s">
        <v>33</v>
      </c>
      <c r="B8" s="153" t="s">
        <v>34</v>
      </c>
      <c r="C8" s="154" t="s">
        <v>49</v>
      </c>
      <c r="D8" s="152" t="s">
        <v>36</v>
      </c>
      <c r="E8" s="152" t="s">
        <v>37</v>
      </c>
      <c r="F8" s="152" t="s">
        <v>37</v>
      </c>
      <c r="G8" s="152" t="s">
        <v>37</v>
      </c>
      <c r="H8" s="152" t="s">
        <v>38</v>
      </c>
      <c r="I8" s="152" t="s">
        <v>50</v>
      </c>
      <c r="J8" s="152"/>
      <c r="K8" s="152"/>
      <c r="L8" s="152"/>
      <c r="M8" s="152" t="s">
        <v>39</v>
      </c>
      <c r="N8" s="152" t="s">
        <v>40</v>
      </c>
      <c r="O8" s="152" t="s">
        <v>41</v>
      </c>
      <c r="P8" s="153" t="s">
        <v>51</v>
      </c>
      <c r="Q8" s="155">
        <v>1383785700</v>
      </c>
      <c r="R8" s="155">
        <v>0</v>
      </c>
      <c r="S8" s="155">
        <v>0</v>
      </c>
      <c r="T8" s="155">
        <v>1383785700</v>
      </c>
      <c r="U8" s="155">
        <v>0</v>
      </c>
      <c r="V8" s="155">
        <v>1383785700</v>
      </c>
      <c r="W8" s="155">
        <v>0</v>
      </c>
      <c r="X8" s="155">
        <v>174483441</v>
      </c>
      <c r="Y8" s="155">
        <v>166300282</v>
      </c>
      <c r="Z8" s="155">
        <v>166300282</v>
      </c>
      <c r="AA8" s="155">
        <v>166300282</v>
      </c>
      <c r="AB8" s="155">
        <f t="shared" si="0"/>
        <v>1209302259</v>
      </c>
    </row>
    <row r="9" spans="1:28" x14ac:dyDescent="0.3">
      <c r="A9" s="152" t="s">
        <v>33</v>
      </c>
      <c r="B9" s="153" t="s">
        <v>34</v>
      </c>
      <c r="C9" s="154" t="s">
        <v>52</v>
      </c>
      <c r="D9" s="152" t="s">
        <v>36</v>
      </c>
      <c r="E9" s="152" t="s">
        <v>37</v>
      </c>
      <c r="F9" s="152" t="s">
        <v>37</v>
      </c>
      <c r="G9" s="152" t="s">
        <v>37</v>
      </c>
      <c r="H9" s="152" t="s">
        <v>38</v>
      </c>
      <c r="I9" s="152" t="s">
        <v>53</v>
      </c>
      <c r="J9" s="152"/>
      <c r="K9" s="152"/>
      <c r="L9" s="152"/>
      <c r="M9" s="152" t="s">
        <v>39</v>
      </c>
      <c r="N9" s="152" t="s">
        <v>40</v>
      </c>
      <c r="O9" s="152" t="s">
        <v>41</v>
      </c>
      <c r="P9" s="153" t="s">
        <v>54</v>
      </c>
      <c r="Q9" s="155">
        <v>3681426800</v>
      </c>
      <c r="R9" s="155">
        <v>0</v>
      </c>
      <c r="S9" s="155">
        <v>0</v>
      </c>
      <c r="T9" s="155">
        <v>3681426800</v>
      </c>
      <c r="U9" s="155">
        <v>0</v>
      </c>
      <c r="V9" s="155">
        <v>3681426800</v>
      </c>
      <c r="W9" s="155">
        <v>0</v>
      </c>
      <c r="X9" s="155">
        <v>5496235</v>
      </c>
      <c r="Y9" s="155">
        <v>0</v>
      </c>
      <c r="Z9" s="155">
        <v>0</v>
      </c>
      <c r="AA9" s="155">
        <v>0</v>
      </c>
      <c r="AB9" s="155">
        <f t="shared" si="0"/>
        <v>3675930565</v>
      </c>
    </row>
    <row r="10" spans="1:28" x14ac:dyDescent="0.3">
      <c r="A10" s="152" t="s">
        <v>33</v>
      </c>
      <c r="B10" s="153" t="s">
        <v>34</v>
      </c>
      <c r="C10" s="154" t="s">
        <v>55</v>
      </c>
      <c r="D10" s="152" t="s">
        <v>36</v>
      </c>
      <c r="E10" s="152" t="s">
        <v>37</v>
      </c>
      <c r="F10" s="152" t="s">
        <v>37</v>
      </c>
      <c r="G10" s="152" t="s">
        <v>37</v>
      </c>
      <c r="H10" s="152" t="s">
        <v>38</v>
      </c>
      <c r="I10" s="152" t="s">
        <v>56</v>
      </c>
      <c r="J10" s="152"/>
      <c r="K10" s="152"/>
      <c r="L10" s="152"/>
      <c r="M10" s="152" t="s">
        <v>39</v>
      </c>
      <c r="N10" s="152" t="s">
        <v>40</v>
      </c>
      <c r="O10" s="152" t="s">
        <v>41</v>
      </c>
      <c r="P10" s="153" t="s">
        <v>57</v>
      </c>
      <c r="Q10" s="155">
        <v>1843446500</v>
      </c>
      <c r="R10" s="155">
        <v>0</v>
      </c>
      <c r="S10" s="155">
        <v>0</v>
      </c>
      <c r="T10" s="155">
        <v>1843446500</v>
      </c>
      <c r="U10" s="155">
        <v>0</v>
      </c>
      <c r="V10" s="155">
        <v>1843446500</v>
      </c>
      <c r="W10" s="155">
        <v>0</v>
      </c>
      <c r="X10" s="155">
        <v>39521107</v>
      </c>
      <c r="Y10" s="155">
        <v>27312202</v>
      </c>
      <c r="Z10" s="155">
        <v>27312202</v>
      </c>
      <c r="AA10" s="155">
        <v>27312202</v>
      </c>
      <c r="AB10" s="155">
        <f t="shared" si="0"/>
        <v>1803925393</v>
      </c>
    </row>
    <row r="11" spans="1:28" x14ac:dyDescent="0.3">
      <c r="A11" s="152" t="s">
        <v>33</v>
      </c>
      <c r="B11" s="153" t="s">
        <v>34</v>
      </c>
      <c r="C11" s="154" t="s">
        <v>58</v>
      </c>
      <c r="D11" s="152" t="s">
        <v>36</v>
      </c>
      <c r="E11" s="152" t="s">
        <v>37</v>
      </c>
      <c r="F11" s="152" t="s">
        <v>37</v>
      </c>
      <c r="G11" s="152" t="s">
        <v>59</v>
      </c>
      <c r="H11" s="152" t="s">
        <v>38</v>
      </c>
      <c r="I11" s="152"/>
      <c r="J11" s="152"/>
      <c r="K11" s="152"/>
      <c r="L11" s="152"/>
      <c r="M11" s="152" t="s">
        <v>39</v>
      </c>
      <c r="N11" s="152" t="s">
        <v>40</v>
      </c>
      <c r="O11" s="152" t="s">
        <v>41</v>
      </c>
      <c r="P11" s="153" t="s">
        <v>60</v>
      </c>
      <c r="Q11" s="155">
        <v>4671808100</v>
      </c>
      <c r="R11" s="155">
        <v>0</v>
      </c>
      <c r="S11" s="155">
        <v>0</v>
      </c>
      <c r="T11" s="155">
        <v>4671808100</v>
      </c>
      <c r="U11" s="155">
        <v>0</v>
      </c>
      <c r="V11" s="155">
        <v>4671808100</v>
      </c>
      <c r="W11" s="155">
        <v>0</v>
      </c>
      <c r="X11" s="155">
        <v>375522393</v>
      </c>
      <c r="Y11" s="155">
        <v>375522393</v>
      </c>
      <c r="Z11" s="155">
        <v>375522393</v>
      </c>
      <c r="AA11" s="155">
        <v>375522393</v>
      </c>
      <c r="AB11" s="155">
        <f t="shared" si="0"/>
        <v>4296285707</v>
      </c>
    </row>
    <row r="12" spans="1:28" x14ac:dyDescent="0.3">
      <c r="A12" s="152" t="s">
        <v>33</v>
      </c>
      <c r="B12" s="153" t="s">
        <v>34</v>
      </c>
      <c r="C12" s="154" t="s">
        <v>61</v>
      </c>
      <c r="D12" s="152" t="s">
        <v>36</v>
      </c>
      <c r="E12" s="152" t="s">
        <v>37</v>
      </c>
      <c r="F12" s="152" t="s">
        <v>37</v>
      </c>
      <c r="G12" s="152" t="s">
        <v>59</v>
      </c>
      <c r="H12" s="152" t="s">
        <v>62</v>
      </c>
      <c r="I12" s="152"/>
      <c r="J12" s="152"/>
      <c r="K12" s="152"/>
      <c r="L12" s="152"/>
      <c r="M12" s="152" t="s">
        <v>39</v>
      </c>
      <c r="N12" s="152" t="s">
        <v>40</v>
      </c>
      <c r="O12" s="152" t="s">
        <v>41</v>
      </c>
      <c r="P12" s="153" t="s">
        <v>63</v>
      </c>
      <c r="Q12" s="155">
        <v>3254375400</v>
      </c>
      <c r="R12" s="155">
        <v>0</v>
      </c>
      <c r="S12" s="155">
        <v>0</v>
      </c>
      <c r="T12" s="155">
        <v>3254375400</v>
      </c>
      <c r="U12" s="155">
        <v>0</v>
      </c>
      <c r="V12" s="155">
        <v>3254375400</v>
      </c>
      <c r="W12" s="155">
        <v>0</v>
      </c>
      <c r="X12" s="155">
        <v>265975411</v>
      </c>
      <c r="Y12" s="155">
        <v>265975411</v>
      </c>
      <c r="Z12" s="155">
        <v>265975411</v>
      </c>
      <c r="AA12" s="155">
        <v>265975411</v>
      </c>
      <c r="AB12" s="155">
        <f t="shared" si="0"/>
        <v>2988399989</v>
      </c>
    </row>
    <row r="13" spans="1:28" x14ac:dyDescent="0.3">
      <c r="A13" s="152" t="s">
        <v>33</v>
      </c>
      <c r="B13" s="153" t="s">
        <v>34</v>
      </c>
      <c r="C13" s="154" t="s">
        <v>64</v>
      </c>
      <c r="D13" s="152" t="s">
        <v>36</v>
      </c>
      <c r="E13" s="152" t="s">
        <v>37</v>
      </c>
      <c r="F13" s="152" t="s">
        <v>37</v>
      </c>
      <c r="G13" s="152" t="s">
        <v>59</v>
      </c>
      <c r="H13" s="152" t="s">
        <v>44</v>
      </c>
      <c r="I13" s="152"/>
      <c r="J13" s="152"/>
      <c r="K13" s="152"/>
      <c r="L13" s="152"/>
      <c r="M13" s="152" t="s">
        <v>39</v>
      </c>
      <c r="N13" s="152" t="s">
        <v>40</v>
      </c>
      <c r="O13" s="152" t="s">
        <v>41</v>
      </c>
      <c r="P13" s="153" t="s">
        <v>65</v>
      </c>
      <c r="Q13" s="155">
        <v>3756560100</v>
      </c>
      <c r="R13" s="155">
        <v>0</v>
      </c>
      <c r="S13" s="155">
        <v>0</v>
      </c>
      <c r="T13" s="155">
        <v>3756560100</v>
      </c>
      <c r="U13" s="155">
        <v>0</v>
      </c>
      <c r="V13" s="155">
        <v>3756560100</v>
      </c>
      <c r="W13" s="155">
        <v>0</v>
      </c>
      <c r="X13" s="155">
        <v>302701463</v>
      </c>
      <c r="Y13" s="155">
        <v>196018658</v>
      </c>
      <c r="Z13" s="155">
        <v>196018658</v>
      </c>
      <c r="AA13" s="155">
        <v>196018658</v>
      </c>
      <c r="AB13" s="155">
        <f t="shared" si="0"/>
        <v>3453858637</v>
      </c>
    </row>
    <row r="14" spans="1:28" x14ac:dyDescent="0.3">
      <c r="A14" s="152" t="s">
        <v>33</v>
      </c>
      <c r="B14" s="153" t="s">
        <v>34</v>
      </c>
      <c r="C14" s="154" t="s">
        <v>66</v>
      </c>
      <c r="D14" s="152" t="s">
        <v>36</v>
      </c>
      <c r="E14" s="152" t="s">
        <v>37</v>
      </c>
      <c r="F14" s="152" t="s">
        <v>37</v>
      </c>
      <c r="G14" s="152" t="s">
        <v>59</v>
      </c>
      <c r="H14" s="152" t="s">
        <v>67</v>
      </c>
      <c r="I14" s="152"/>
      <c r="J14" s="152"/>
      <c r="K14" s="152"/>
      <c r="L14" s="152"/>
      <c r="M14" s="152" t="s">
        <v>39</v>
      </c>
      <c r="N14" s="152" t="s">
        <v>40</v>
      </c>
      <c r="O14" s="152" t="s">
        <v>41</v>
      </c>
      <c r="P14" s="153" t="s">
        <v>68</v>
      </c>
      <c r="Q14" s="155">
        <v>1348581200</v>
      </c>
      <c r="R14" s="155">
        <v>0</v>
      </c>
      <c r="S14" s="155">
        <v>0</v>
      </c>
      <c r="T14" s="155">
        <v>1348581200</v>
      </c>
      <c r="U14" s="155">
        <v>0</v>
      </c>
      <c r="V14" s="155">
        <v>1348581200</v>
      </c>
      <c r="W14" s="155">
        <v>0</v>
      </c>
      <c r="X14" s="155">
        <v>113437400</v>
      </c>
      <c r="Y14" s="155">
        <v>113437400</v>
      </c>
      <c r="Z14" s="155">
        <v>113437400</v>
      </c>
      <c r="AA14" s="155">
        <v>113437400</v>
      </c>
      <c r="AB14" s="155">
        <f t="shared" si="0"/>
        <v>1235143800</v>
      </c>
    </row>
    <row r="15" spans="1:28" x14ac:dyDescent="0.3">
      <c r="A15" s="152" t="s">
        <v>33</v>
      </c>
      <c r="B15" s="153" t="s">
        <v>34</v>
      </c>
      <c r="C15" s="154" t="s">
        <v>69</v>
      </c>
      <c r="D15" s="152" t="s">
        <v>36</v>
      </c>
      <c r="E15" s="152" t="s">
        <v>37</v>
      </c>
      <c r="F15" s="152" t="s">
        <v>37</v>
      </c>
      <c r="G15" s="152" t="s">
        <v>59</v>
      </c>
      <c r="H15" s="152" t="s">
        <v>70</v>
      </c>
      <c r="I15" s="152"/>
      <c r="J15" s="152"/>
      <c r="K15" s="152"/>
      <c r="L15" s="152"/>
      <c r="M15" s="152" t="s">
        <v>39</v>
      </c>
      <c r="N15" s="152" t="s">
        <v>40</v>
      </c>
      <c r="O15" s="152" t="s">
        <v>41</v>
      </c>
      <c r="P15" s="153" t="s">
        <v>71</v>
      </c>
      <c r="Q15" s="155">
        <v>252958200</v>
      </c>
      <c r="R15" s="155">
        <v>0</v>
      </c>
      <c r="S15" s="155">
        <v>0</v>
      </c>
      <c r="T15" s="155">
        <v>252958200</v>
      </c>
      <c r="U15" s="155">
        <v>0</v>
      </c>
      <c r="V15" s="155">
        <v>252958200</v>
      </c>
      <c r="W15" s="155">
        <v>0</v>
      </c>
      <c r="X15" s="155">
        <v>14315600</v>
      </c>
      <c r="Y15" s="155">
        <v>14315600</v>
      </c>
      <c r="Z15" s="155">
        <v>14315600</v>
      </c>
      <c r="AA15" s="155">
        <v>14315600</v>
      </c>
      <c r="AB15" s="155">
        <f t="shared" si="0"/>
        <v>238642600</v>
      </c>
    </row>
    <row r="16" spans="1:28" x14ac:dyDescent="0.3">
      <c r="A16" s="152" t="s">
        <v>33</v>
      </c>
      <c r="B16" s="153" t="s">
        <v>34</v>
      </c>
      <c r="C16" s="154" t="s">
        <v>72</v>
      </c>
      <c r="D16" s="152" t="s">
        <v>36</v>
      </c>
      <c r="E16" s="152" t="s">
        <v>37</v>
      </c>
      <c r="F16" s="152" t="s">
        <v>37</v>
      </c>
      <c r="G16" s="152" t="s">
        <v>59</v>
      </c>
      <c r="H16" s="152" t="s">
        <v>47</v>
      </c>
      <c r="I16" s="152"/>
      <c r="J16" s="152"/>
      <c r="K16" s="152"/>
      <c r="L16" s="152"/>
      <c r="M16" s="152" t="s">
        <v>39</v>
      </c>
      <c r="N16" s="152" t="s">
        <v>40</v>
      </c>
      <c r="O16" s="152" t="s">
        <v>41</v>
      </c>
      <c r="P16" s="153" t="s">
        <v>73</v>
      </c>
      <c r="Q16" s="155">
        <v>964028900</v>
      </c>
      <c r="R16" s="155">
        <v>0</v>
      </c>
      <c r="S16" s="155">
        <v>0</v>
      </c>
      <c r="T16" s="155">
        <v>964028900</v>
      </c>
      <c r="U16" s="155">
        <v>0</v>
      </c>
      <c r="V16" s="155">
        <v>964028900</v>
      </c>
      <c r="W16" s="155">
        <v>0</v>
      </c>
      <c r="X16" s="155">
        <v>85081400</v>
      </c>
      <c r="Y16" s="155">
        <v>85081400</v>
      </c>
      <c r="Z16" s="155">
        <v>85081400</v>
      </c>
      <c r="AA16" s="155">
        <v>85081400</v>
      </c>
      <c r="AB16" s="155">
        <f t="shared" si="0"/>
        <v>878947500</v>
      </c>
    </row>
    <row r="17" spans="1:28" x14ac:dyDescent="0.3">
      <c r="A17" s="152" t="s">
        <v>33</v>
      </c>
      <c r="B17" s="153" t="s">
        <v>34</v>
      </c>
      <c r="C17" s="154" t="s">
        <v>74</v>
      </c>
      <c r="D17" s="152" t="s">
        <v>36</v>
      </c>
      <c r="E17" s="152" t="s">
        <v>37</v>
      </c>
      <c r="F17" s="152" t="s">
        <v>37</v>
      </c>
      <c r="G17" s="152" t="s">
        <v>59</v>
      </c>
      <c r="H17" s="152" t="s">
        <v>50</v>
      </c>
      <c r="I17" s="152"/>
      <c r="J17" s="152"/>
      <c r="K17" s="152"/>
      <c r="L17" s="152"/>
      <c r="M17" s="152" t="s">
        <v>39</v>
      </c>
      <c r="N17" s="152" t="s">
        <v>40</v>
      </c>
      <c r="O17" s="152" t="s">
        <v>41</v>
      </c>
      <c r="P17" s="153" t="s">
        <v>75</v>
      </c>
      <c r="Q17" s="155">
        <v>646302100</v>
      </c>
      <c r="R17" s="155">
        <v>0</v>
      </c>
      <c r="S17" s="155">
        <v>0</v>
      </c>
      <c r="T17" s="155">
        <v>646302100</v>
      </c>
      <c r="U17" s="155">
        <v>0</v>
      </c>
      <c r="V17" s="155">
        <v>646302100</v>
      </c>
      <c r="W17" s="155">
        <v>0</v>
      </c>
      <c r="X17" s="155">
        <v>56727100</v>
      </c>
      <c r="Y17" s="155">
        <v>56727100</v>
      </c>
      <c r="Z17" s="155">
        <v>56727100</v>
      </c>
      <c r="AA17" s="155">
        <v>56727100</v>
      </c>
      <c r="AB17" s="155">
        <f t="shared" si="0"/>
        <v>589575000</v>
      </c>
    </row>
    <row r="18" spans="1:28" x14ac:dyDescent="0.3">
      <c r="A18" s="152" t="s">
        <v>33</v>
      </c>
      <c r="B18" s="153" t="s">
        <v>34</v>
      </c>
      <c r="C18" s="154" t="s">
        <v>76</v>
      </c>
      <c r="D18" s="152" t="s">
        <v>36</v>
      </c>
      <c r="E18" s="152" t="s">
        <v>37</v>
      </c>
      <c r="F18" s="152" t="s">
        <v>37</v>
      </c>
      <c r="G18" s="152" t="s">
        <v>77</v>
      </c>
      <c r="H18" s="152" t="s">
        <v>38</v>
      </c>
      <c r="I18" s="152" t="s">
        <v>38</v>
      </c>
      <c r="J18" s="152"/>
      <c r="K18" s="152"/>
      <c r="L18" s="152"/>
      <c r="M18" s="152" t="s">
        <v>39</v>
      </c>
      <c r="N18" s="152" t="s">
        <v>40</v>
      </c>
      <c r="O18" s="152" t="s">
        <v>41</v>
      </c>
      <c r="P18" s="153" t="s">
        <v>78</v>
      </c>
      <c r="Q18" s="155">
        <v>2538271900</v>
      </c>
      <c r="R18" s="155">
        <v>0</v>
      </c>
      <c r="S18" s="155">
        <v>0</v>
      </c>
      <c r="T18" s="155">
        <v>2538271900</v>
      </c>
      <c r="U18" s="155">
        <v>0</v>
      </c>
      <c r="V18" s="155">
        <v>2538271900</v>
      </c>
      <c r="W18" s="155">
        <v>0</v>
      </c>
      <c r="X18" s="155">
        <v>35030569</v>
      </c>
      <c r="Y18" s="155">
        <v>35030569</v>
      </c>
      <c r="Z18" s="155">
        <v>35030569</v>
      </c>
      <c r="AA18" s="155">
        <v>35030569</v>
      </c>
      <c r="AB18" s="155">
        <f t="shared" si="0"/>
        <v>2503241331</v>
      </c>
    </row>
    <row r="19" spans="1:28" x14ac:dyDescent="0.3">
      <c r="A19" s="152" t="s">
        <v>33</v>
      </c>
      <c r="B19" s="153" t="s">
        <v>34</v>
      </c>
      <c r="C19" s="154" t="s">
        <v>79</v>
      </c>
      <c r="D19" s="152" t="s">
        <v>36</v>
      </c>
      <c r="E19" s="152" t="s">
        <v>37</v>
      </c>
      <c r="F19" s="152" t="s">
        <v>37</v>
      </c>
      <c r="G19" s="152" t="s">
        <v>77</v>
      </c>
      <c r="H19" s="152" t="s">
        <v>38</v>
      </c>
      <c r="I19" s="152" t="s">
        <v>62</v>
      </c>
      <c r="J19" s="152"/>
      <c r="K19" s="152"/>
      <c r="L19" s="152"/>
      <c r="M19" s="152" t="s">
        <v>39</v>
      </c>
      <c r="N19" s="152" t="s">
        <v>40</v>
      </c>
      <c r="O19" s="152" t="s">
        <v>41</v>
      </c>
      <c r="P19" s="153" t="s">
        <v>80</v>
      </c>
      <c r="Q19" s="155">
        <v>475217900</v>
      </c>
      <c r="R19" s="155">
        <v>0</v>
      </c>
      <c r="S19" s="155">
        <v>0</v>
      </c>
      <c r="T19" s="155">
        <v>475217900</v>
      </c>
      <c r="U19" s="155">
        <v>0</v>
      </c>
      <c r="V19" s="155">
        <v>475217900</v>
      </c>
      <c r="W19" s="155">
        <v>0</v>
      </c>
      <c r="X19" s="155">
        <v>16147577</v>
      </c>
      <c r="Y19" s="155">
        <v>0</v>
      </c>
      <c r="Z19" s="155">
        <v>0</v>
      </c>
      <c r="AA19" s="155">
        <v>0</v>
      </c>
      <c r="AB19" s="155">
        <f t="shared" si="0"/>
        <v>459070323</v>
      </c>
    </row>
    <row r="20" spans="1:28" x14ac:dyDescent="0.3">
      <c r="A20" s="152" t="s">
        <v>33</v>
      </c>
      <c r="B20" s="153" t="s">
        <v>34</v>
      </c>
      <c r="C20" s="154" t="s">
        <v>81</v>
      </c>
      <c r="D20" s="152" t="s">
        <v>36</v>
      </c>
      <c r="E20" s="152" t="s">
        <v>37</v>
      </c>
      <c r="F20" s="152" t="s">
        <v>37</v>
      </c>
      <c r="G20" s="152" t="s">
        <v>77</v>
      </c>
      <c r="H20" s="152" t="s">
        <v>38</v>
      </c>
      <c r="I20" s="152" t="s">
        <v>44</v>
      </c>
      <c r="J20" s="152"/>
      <c r="K20" s="152"/>
      <c r="L20" s="152"/>
      <c r="M20" s="152" t="s">
        <v>39</v>
      </c>
      <c r="N20" s="152" t="s">
        <v>40</v>
      </c>
      <c r="O20" s="152" t="s">
        <v>41</v>
      </c>
      <c r="P20" s="153" t="s">
        <v>82</v>
      </c>
      <c r="Q20" s="155">
        <v>262339700</v>
      </c>
      <c r="R20" s="155">
        <v>0</v>
      </c>
      <c r="S20" s="155">
        <v>0</v>
      </c>
      <c r="T20" s="155">
        <v>262339700</v>
      </c>
      <c r="U20" s="155">
        <v>0</v>
      </c>
      <c r="V20" s="155">
        <v>262339700</v>
      </c>
      <c r="W20" s="155">
        <v>0</v>
      </c>
      <c r="X20" s="155">
        <v>4966369</v>
      </c>
      <c r="Y20" s="155">
        <v>3412303</v>
      </c>
      <c r="Z20" s="155">
        <v>3412303</v>
      </c>
      <c r="AA20" s="155">
        <v>3412303</v>
      </c>
      <c r="AB20" s="155">
        <f t="shared" si="0"/>
        <v>257373331</v>
      </c>
    </row>
    <row r="21" spans="1:28" x14ac:dyDescent="0.3">
      <c r="A21" s="152" t="s">
        <v>33</v>
      </c>
      <c r="B21" s="153" t="s">
        <v>34</v>
      </c>
      <c r="C21" s="154" t="s">
        <v>83</v>
      </c>
      <c r="D21" s="152" t="s">
        <v>36</v>
      </c>
      <c r="E21" s="152" t="s">
        <v>37</v>
      </c>
      <c r="F21" s="152" t="s">
        <v>37</v>
      </c>
      <c r="G21" s="152" t="s">
        <v>77</v>
      </c>
      <c r="H21" s="152" t="s">
        <v>62</v>
      </c>
      <c r="I21" s="152"/>
      <c r="J21" s="152"/>
      <c r="K21" s="152"/>
      <c r="L21" s="152"/>
      <c r="M21" s="152" t="s">
        <v>39</v>
      </c>
      <c r="N21" s="152" t="s">
        <v>40</v>
      </c>
      <c r="O21" s="152" t="s">
        <v>41</v>
      </c>
      <c r="P21" s="153" t="s">
        <v>84</v>
      </c>
      <c r="Q21" s="155">
        <v>943648900</v>
      </c>
      <c r="R21" s="155">
        <v>0</v>
      </c>
      <c r="S21" s="155">
        <v>0</v>
      </c>
      <c r="T21" s="155">
        <v>943648900</v>
      </c>
      <c r="U21" s="155">
        <v>0</v>
      </c>
      <c r="V21" s="155">
        <v>943648900</v>
      </c>
      <c r="W21" s="155">
        <v>0</v>
      </c>
      <c r="X21" s="155">
        <v>80147982</v>
      </c>
      <c r="Y21" s="155">
        <v>80147982</v>
      </c>
      <c r="Z21" s="155">
        <v>80147982</v>
      </c>
      <c r="AA21" s="155">
        <v>80147982</v>
      </c>
      <c r="AB21" s="155">
        <f t="shared" si="0"/>
        <v>863500918</v>
      </c>
    </row>
    <row r="22" spans="1:28" x14ac:dyDescent="0.3">
      <c r="A22" s="152" t="s">
        <v>33</v>
      </c>
      <c r="B22" s="153" t="s">
        <v>34</v>
      </c>
      <c r="C22" s="154" t="s">
        <v>85</v>
      </c>
      <c r="D22" s="152" t="s">
        <v>36</v>
      </c>
      <c r="E22" s="152" t="s">
        <v>37</v>
      </c>
      <c r="F22" s="152" t="s">
        <v>37</v>
      </c>
      <c r="G22" s="152" t="s">
        <v>77</v>
      </c>
      <c r="H22" s="152" t="s">
        <v>86</v>
      </c>
      <c r="I22" s="152"/>
      <c r="J22" s="152"/>
      <c r="K22" s="152"/>
      <c r="L22" s="152"/>
      <c r="M22" s="152" t="s">
        <v>39</v>
      </c>
      <c r="N22" s="152" t="s">
        <v>40</v>
      </c>
      <c r="O22" s="152" t="s">
        <v>41</v>
      </c>
      <c r="P22" s="153" t="s">
        <v>87</v>
      </c>
      <c r="Q22" s="155">
        <v>210000000</v>
      </c>
      <c r="R22" s="155">
        <v>0</v>
      </c>
      <c r="S22" s="155">
        <v>0</v>
      </c>
      <c r="T22" s="155">
        <v>210000000</v>
      </c>
      <c r="U22" s="155">
        <v>0</v>
      </c>
      <c r="V22" s="155">
        <v>210000000</v>
      </c>
      <c r="W22" s="155">
        <v>0</v>
      </c>
      <c r="X22" s="155">
        <v>0</v>
      </c>
      <c r="Y22" s="155">
        <v>0</v>
      </c>
      <c r="Z22" s="155">
        <v>0</v>
      </c>
      <c r="AA22" s="155">
        <v>0</v>
      </c>
      <c r="AB22" s="155">
        <f t="shared" si="0"/>
        <v>210000000</v>
      </c>
    </row>
    <row r="23" spans="1:28" x14ac:dyDescent="0.3">
      <c r="A23" s="152" t="s">
        <v>33</v>
      </c>
      <c r="B23" s="153" t="s">
        <v>34</v>
      </c>
      <c r="C23" s="154" t="s">
        <v>88</v>
      </c>
      <c r="D23" s="152" t="s">
        <v>36</v>
      </c>
      <c r="E23" s="152" t="s">
        <v>37</v>
      </c>
      <c r="F23" s="152" t="s">
        <v>37</v>
      </c>
      <c r="G23" s="152" t="s">
        <v>77</v>
      </c>
      <c r="H23" s="152" t="s">
        <v>89</v>
      </c>
      <c r="I23" s="152"/>
      <c r="J23" s="152"/>
      <c r="K23" s="152"/>
      <c r="L23" s="152"/>
      <c r="M23" s="152" t="s">
        <v>39</v>
      </c>
      <c r="N23" s="152" t="s">
        <v>40</v>
      </c>
      <c r="O23" s="152" t="s">
        <v>41</v>
      </c>
      <c r="P23" s="153" t="s">
        <v>90</v>
      </c>
      <c r="Q23" s="155">
        <v>207336500</v>
      </c>
      <c r="R23" s="155">
        <v>0</v>
      </c>
      <c r="S23" s="155">
        <v>0</v>
      </c>
      <c r="T23" s="155">
        <v>207336500</v>
      </c>
      <c r="U23" s="155">
        <v>0</v>
      </c>
      <c r="V23" s="155">
        <v>207336500</v>
      </c>
      <c r="W23" s="155">
        <v>0</v>
      </c>
      <c r="X23" s="155">
        <v>9744974</v>
      </c>
      <c r="Y23" s="155">
        <v>9744974</v>
      </c>
      <c r="Z23" s="155">
        <v>9744974</v>
      </c>
      <c r="AA23" s="155">
        <v>9744974</v>
      </c>
      <c r="AB23" s="155">
        <f t="shared" si="0"/>
        <v>197591526</v>
      </c>
    </row>
    <row r="24" spans="1:28" x14ac:dyDescent="0.3">
      <c r="A24" s="152" t="s">
        <v>33</v>
      </c>
      <c r="B24" s="153" t="s">
        <v>34</v>
      </c>
      <c r="C24" s="154" t="s">
        <v>91</v>
      </c>
      <c r="D24" s="152" t="s">
        <v>36</v>
      </c>
      <c r="E24" s="152" t="s">
        <v>37</v>
      </c>
      <c r="F24" s="152" t="s">
        <v>37</v>
      </c>
      <c r="G24" s="152" t="s">
        <v>77</v>
      </c>
      <c r="H24" s="152" t="s">
        <v>92</v>
      </c>
      <c r="I24" s="152"/>
      <c r="J24" s="152"/>
      <c r="K24" s="152"/>
      <c r="L24" s="152"/>
      <c r="M24" s="152" t="s">
        <v>39</v>
      </c>
      <c r="N24" s="152" t="s">
        <v>40</v>
      </c>
      <c r="O24" s="152" t="s">
        <v>41</v>
      </c>
      <c r="P24" s="153" t="s">
        <v>93</v>
      </c>
      <c r="Q24" s="155">
        <v>136883100</v>
      </c>
      <c r="R24" s="155">
        <v>0</v>
      </c>
      <c r="S24" s="155">
        <v>0</v>
      </c>
      <c r="T24" s="155">
        <v>136883100</v>
      </c>
      <c r="U24" s="155">
        <v>0</v>
      </c>
      <c r="V24" s="155">
        <v>136883100</v>
      </c>
      <c r="W24" s="155">
        <v>0</v>
      </c>
      <c r="X24" s="155">
        <v>0</v>
      </c>
      <c r="Y24" s="155">
        <v>0</v>
      </c>
      <c r="Z24" s="155">
        <v>0</v>
      </c>
      <c r="AA24" s="155">
        <v>0</v>
      </c>
      <c r="AB24" s="155">
        <f t="shared" si="0"/>
        <v>136883100</v>
      </c>
    </row>
    <row r="25" spans="1:28" x14ac:dyDescent="0.3">
      <c r="A25" s="152" t="s">
        <v>33</v>
      </c>
      <c r="B25" s="153" t="s">
        <v>34</v>
      </c>
      <c r="C25" s="154" t="s">
        <v>94</v>
      </c>
      <c r="D25" s="152" t="s">
        <v>36</v>
      </c>
      <c r="E25" s="152" t="s">
        <v>59</v>
      </c>
      <c r="F25" s="152" t="s">
        <v>59</v>
      </c>
      <c r="G25" s="152" t="s">
        <v>37</v>
      </c>
      <c r="H25" s="152" t="s">
        <v>62</v>
      </c>
      <c r="I25" s="152" t="s">
        <v>44</v>
      </c>
      <c r="J25" s="152"/>
      <c r="K25" s="152"/>
      <c r="L25" s="152"/>
      <c r="M25" s="152" t="s">
        <v>39</v>
      </c>
      <c r="N25" s="152" t="s">
        <v>40</v>
      </c>
      <c r="O25" s="152" t="s">
        <v>41</v>
      </c>
      <c r="P25" s="153" t="s">
        <v>95</v>
      </c>
      <c r="Q25" s="155">
        <v>5000000</v>
      </c>
      <c r="R25" s="155">
        <v>0</v>
      </c>
      <c r="S25" s="155">
        <v>0</v>
      </c>
      <c r="T25" s="155">
        <v>5000000</v>
      </c>
      <c r="U25" s="155">
        <v>0</v>
      </c>
      <c r="V25" s="155">
        <v>1000000</v>
      </c>
      <c r="W25" s="155">
        <v>4000000</v>
      </c>
      <c r="X25" s="155">
        <v>0</v>
      </c>
      <c r="Y25" s="155">
        <v>0</v>
      </c>
      <c r="Z25" s="155">
        <v>0</v>
      </c>
      <c r="AA25" s="155">
        <v>0</v>
      </c>
      <c r="AB25" s="155">
        <f t="shared" si="0"/>
        <v>1000000</v>
      </c>
    </row>
    <row r="26" spans="1:28" x14ac:dyDescent="0.3">
      <c r="A26" s="152" t="s">
        <v>33</v>
      </c>
      <c r="B26" s="153" t="s">
        <v>34</v>
      </c>
      <c r="C26" s="154" t="s">
        <v>96</v>
      </c>
      <c r="D26" s="152" t="s">
        <v>36</v>
      </c>
      <c r="E26" s="152" t="s">
        <v>59</v>
      </c>
      <c r="F26" s="152" t="s">
        <v>59</v>
      </c>
      <c r="G26" s="152" t="s">
        <v>37</v>
      </c>
      <c r="H26" s="152" t="s">
        <v>62</v>
      </c>
      <c r="I26" s="152" t="s">
        <v>47</v>
      </c>
      <c r="J26" s="152"/>
      <c r="K26" s="152"/>
      <c r="L26" s="152"/>
      <c r="M26" s="152" t="s">
        <v>39</v>
      </c>
      <c r="N26" s="152" t="s">
        <v>40</v>
      </c>
      <c r="O26" s="152" t="s">
        <v>41</v>
      </c>
      <c r="P26" s="153" t="s">
        <v>97</v>
      </c>
      <c r="Q26" s="155">
        <v>7859273</v>
      </c>
      <c r="R26" s="155">
        <v>0</v>
      </c>
      <c r="S26" s="155">
        <v>0</v>
      </c>
      <c r="T26" s="155">
        <v>7859273</v>
      </c>
      <c r="U26" s="155">
        <v>0</v>
      </c>
      <c r="V26" s="155">
        <v>2298779.6</v>
      </c>
      <c r="W26" s="155">
        <v>5560493.4000000004</v>
      </c>
      <c r="X26" s="155">
        <v>2298779.6</v>
      </c>
      <c r="Y26" s="155">
        <v>0</v>
      </c>
      <c r="Z26" s="155">
        <v>0</v>
      </c>
      <c r="AA26" s="155">
        <v>0</v>
      </c>
      <c r="AB26" s="155">
        <f t="shared" si="0"/>
        <v>0</v>
      </c>
    </row>
    <row r="27" spans="1:28" x14ac:dyDescent="0.3">
      <c r="A27" s="152" t="s">
        <v>33</v>
      </c>
      <c r="B27" s="153" t="s">
        <v>34</v>
      </c>
      <c r="C27" s="154" t="s">
        <v>98</v>
      </c>
      <c r="D27" s="152" t="s">
        <v>36</v>
      </c>
      <c r="E27" s="152" t="s">
        <v>59</v>
      </c>
      <c r="F27" s="152" t="s">
        <v>59</v>
      </c>
      <c r="G27" s="152" t="s">
        <v>37</v>
      </c>
      <c r="H27" s="152" t="s">
        <v>62</v>
      </c>
      <c r="I27" s="152" t="s">
        <v>50</v>
      </c>
      <c r="J27" s="152"/>
      <c r="K27" s="152"/>
      <c r="L27" s="152"/>
      <c r="M27" s="152" t="s">
        <v>39</v>
      </c>
      <c r="N27" s="152" t="s">
        <v>40</v>
      </c>
      <c r="O27" s="152" t="s">
        <v>41</v>
      </c>
      <c r="P27" s="153" t="s">
        <v>99</v>
      </c>
      <c r="Q27" s="155">
        <v>802204</v>
      </c>
      <c r="R27" s="155">
        <v>0</v>
      </c>
      <c r="S27" s="155">
        <v>0</v>
      </c>
      <c r="T27" s="155">
        <v>802204</v>
      </c>
      <c r="U27" s="155">
        <v>0</v>
      </c>
      <c r="V27" s="155">
        <v>195731</v>
      </c>
      <c r="W27" s="155">
        <v>606473</v>
      </c>
      <c r="X27" s="155">
        <v>195731</v>
      </c>
      <c r="Y27" s="155">
        <v>0</v>
      </c>
      <c r="Z27" s="155">
        <v>0</v>
      </c>
      <c r="AA27" s="155">
        <v>0</v>
      </c>
      <c r="AB27" s="155">
        <f t="shared" si="0"/>
        <v>0</v>
      </c>
    </row>
    <row r="28" spans="1:28" x14ac:dyDescent="0.3">
      <c r="A28" s="152" t="s">
        <v>33</v>
      </c>
      <c r="B28" s="153" t="s">
        <v>34</v>
      </c>
      <c r="C28" s="154" t="s">
        <v>100</v>
      </c>
      <c r="D28" s="152" t="s">
        <v>36</v>
      </c>
      <c r="E28" s="152" t="s">
        <v>59</v>
      </c>
      <c r="F28" s="152" t="s">
        <v>59</v>
      </c>
      <c r="G28" s="152" t="s">
        <v>37</v>
      </c>
      <c r="H28" s="152" t="s">
        <v>44</v>
      </c>
      <c r="I28" s="152" t="s">
        <v>62</v>
      </c>
      <c r="J28" s="152"/>
      <c r="K28" s="152"/>
      <c r="L28" s="152"/>
      <c r="M28" s="152" t="s">
        <v>39</v>
      </c>
      <c r="N28" s="152" t="s">
        <v>40</v>
      </c>
      <c r="O28" s="152" t="s">
        <v>41</v>
      </c>
      <c r="P28" s="153" t="s">
        <v>101</v>
      </c>
      <c r="Q28" s="155">
        <v>90952019</v>
      </c>
      <c r="R28" s="155">
        <v>0</v>
      </c>
      <c r="S28" s="155">
        <v>0</v>
      </c>
      <c r="T28" s="155">
        <v>90952019</v>
      </c>
      <c r="U28" s="155">
        <v>0</v>
      </c>
      <c r="V28" s="155">
        <v>26272164</v>
      </c>
      <c r="W28" s="155">
        <v>64679855</v>
      </c>
      <c r="X28" s="155">
        <v>26272164</v>
      </c>
      <c r="Y28" s="155">
        <v>0</v>
      </c>
      <c r="Z28" s="155">
        <v>0</v>
      </c>
      <c r="AA28" s="155">
        <v>0</v>
      </c>
      <c r="AB28" s="155">
        <f t="shared" si="0"/>
        <v>0</v>
      </c>
    </row>
    <row r="29" spans="1:28" x14ac:dyDescent="0.3">
      <c r="A29" s="152" t="s">
        <v>33</v>
      </c>
      <c r="B29" s="153" t="s">
        <v>34</v>
      </c>
      <c r="C29" s="154" t="s">
        <v>102</v>
      </c>
      <c r="D29" s="152" t="s">
        <v>36</v>
      </c>
      <c r="E29" s="152" t="s">
        <v>59</v>
      </c>
      <c r="F29" s="152" t="s">
        <v>59</v>
      </c>
      <c r="G29" s="152" t="s">
        <v>37</v>
      </c>
      <c r="H29" s="152" t="s">
        <v>44</v>
      </c>
      <c r="I29" s="152" t="s">
        <v>44</v>
      </c>
      <c r="J29" s="152"/>
      <c r="K29" s="152"/>
      <c r="L29" s="152"/>
      <c r="M29" s="152" t="s">
        <v>39</v>
      </c>
      <c r="N29" s="152" t="s">
        <v>40</v>
      </c>
      <c r="O29" s="152" t="s">
        <v>41</v>
      </c>
      <c r="P29" s="153" t="s">
        <v>103</v>
      </c>
      <c r="Q29" s="155">
        <v>500000</v>
      </c>
      <c r="R29" s="155">
        <v>0</v>
      </c>
      <c r="S29" s="155">
        <v>0</v>
      </c>
      <c r="T29" s="155">
        <v>500000</v>
      </c>
      <c r="U29" s="155">
        <v>0</v>
      </c>
      <c r="V29" s="155">
        <v>500000</v>
      </c>
      <c r="W29" s="155">
        <v>0</v>
      </c>
      <c r="X29" s="155">
        <v>0</v>
      </c>
      <c r="Y29" s="155">
        <v>0</v>
      </c>
      <c r="Z29" s="155">
        <v>0</v>
      </c>
      <c r="AA29" s="155">
        <v>0</v>
      </c>
      <c r="AB29" s="155">
        <f t="shared" si="0"/>
        <v>500000</v>
      </c>
    </row>
    <row r="30" spans="1:28" x14ac:dyDescent="0.3">
      <c r="A30" s="152" t="s">
        <v>33</v>
      </c>
      <c r="B30" s="153" t="s">
        <v>34</v>
      </c>
      <c r="C30" s="154" t="s">
        <v>104</v>
      </c>
      <c r="D30" s="152" t="s">
        <v>36</v>
      </c>
      <c r="E30" s="152" t="s">
        <v>59</v>
      </c>
      <c r="F30" s="152" t="s">
        <v>59</v>
      </c>
      <c r="G30" s="152" t="s">
        <v>37</v>
      </c>
      <c r="H30" s="152" t="s">
        <v>44</v>
      </c>
      <c r="I30" s="152" t="s">
        <v>67</v>
      </c>
      <c r="J30" s="152"/>
      <c r="K30" s="152"/>
      <c r="L30" s="152"/>
      <c r="M30" s="152" t="s">
        <v>39</v>
      </c>
      <c r="N30" s="152" t="s">
        <v>40</v>
      </c>
      <c r="O30" s="152" t="s">
        <v>41</v>
      </c>
      <c r="P30" s="153" t="s">
        <v>105</v>
      </c>
      <c r="Q30" s="155">
        <v>576359</v>
      </c>
      <c r="R30" s="155">
        <v>0</v>
      </c>
      <c r="S30" s="155">
        <v>0</v>
      </c>
      <c r="T30" s="155">
        <v>576359</v>
      </c>
      <c r="U30" s="155">
        <v>0</v>
      </c>
      <c r="V30" s="155">
        <v>151620.04</v>
      </c>
      <c r="W30" s="155">
        <v>424738.96</v>
      </c>
      <c r="X30" s="155">
        <v>151620.04</v>
      </c>
      <c r="Y30" s="155">
        <v>0</v>
      </c>
      <c r="Z30" s="155">
        <v>0</v>
      </c>
      <c r="AA30" s="155">
        <v>0</v>
      </c>
      <c r="AB30" s="155">
        <f t="shared" si="0"/>
        <v>0</v>
      </c>
    </row>
    <row r="31" spans="1:28" x14ac:dyDescent="0.3">
      <c r="A31" s="152" t="s">
        <v>33</v>
      </c>
      <c r="B31" s="153" t="s">
        <v>34</v>
      </c>
      <c r="C31" s="154" t="s">
        <v>106</v>
      </c>
      <c r="D31" s="152" t="s">
        <v>36</v>
      </c>
      <c r="E31" s="152" t="s">
        <v>59</v>
      </c>
      <c r="F31" s="152" t="s">
        <v>59</v>
      </c>
      <c r="G31" s="152" t="s">
        <v>37</v>
      </c>
      <c r="H31" s="152" t="s">
        <v>44</v>
      </c>
      <c r="I31" s="152" t="s">
        <v>70</v>
      </c>
      <c r="J31" s="152"/>
      <c r="K31" s="152"/>
      <c r="L31" s="152"/>
      <c r="M31" s="152" t="s">
        <v>39</v>
      </c>
      <c r="N31" s="152" t="s">
        <v>40</v>
      </c>
      <c r="O31" s="152" t="s">
        <v>41</v>
      </c>
      <c r="P31" s="153" t="s">
        <v>107</v>
      </c>
      <c r="Q31" s="155">
        <v>10809179</v>
      </c>
      <c r="R31" s="155">
        <v>0</v>
      </c>
      <c r="S31" s="155">
        <v>0</v>
      </c>
      <c r="T31" s="155">
        <v>10809179</v>
      </c>
      <c r="U31" s="155">
        <v>0</v>
      </c>
      <c r="V31" s="155">
        <v>3204090.88</v>
      </c>
      <c r="W31" s="155">
        <v>7605088.1200000001</v>
      </c>
      <c r="X31" s="155">
        <v>3204090.88</v>
      </c>
      <c r="Y31" s="155">
        <v>0</v>
      </c>
      <c r="Z31" s="155">
        <v>0</v>
      </c>
      <c r="AA31" s="155">
        <v>0</v>
      </c>
      <c r="AB31" s="155">
        <f t="shared" si="0"/>
        <v>0</v>
      </c>
    </row>
    <row r="32" spans="1:28" x14ac:dyDescent="0.3">
      <c r="A32" s="152" t="s">
        <v>33</v>
      </c>
      <c r="B32" s="153" t="s">
        <v>34</v>
      </c>
      <c r="C32" s="154" t="s">
        <v>108</v>
      </c>
      <c r="D32" s="152" t="s">
        <v>36</v>
      </c>
      <c r="E32" s="152" t="s">
        <v>59</v>
      </c>
      <c r="F32" s="152" t="s">
        <v>59</v>
      </c>
      <c r="G32" s="152" t="s">
        <v>37</v>
      </c>
      <c r="H32" s="152" t="s">
        <v>44</v>
      </c>
      <c r="I32" s="152" t="s">
        <v>47</v>
      </c>
      <c r="J32" s="152"/>
      <c r="K32" s="152"/>
      <c r="L32" s="152"/>
      <c r="M32" s="152" t="s">
        <v>39</v>
      </c>
      <c r="N32" s="152" t="s">
        <v>40</v>
      </c>
      <c r="O32" s="152" t="s">
        <v>41</v>
      </c>
      <c r="P32" s="153" t="s">
        <v>109</v>
      </c>
      <c r="Q32" s="155">
        <v>23637502</v>
      </c>
      <c r="R32" s="155">
        <v>0</v>
      </c>
      <c r="S32" s="155">
        <v>0</v>
      </c>
      <c r="T32" s="155">
        <v>23637502</v>
      </c>
      <c r="U32" s="155">
        <v>0</v>
      </c>
      <c r="V32" s="155">
        <v>5059330.25</v>
      </c>
      <c r="W32" s="155">
        <v>18578171.75</v>
      </c>
      <c r="X32" s="155">
        <v>5059330.25</v>
      </c>
      <c r="Y32" s="155">
        <v>0</v>
      </c>
      <c r="Z32" s="155">
        <v>0</v>
      </c>
      <c r="AA32" s="155">
        <v>0</v>
      </c>
      <c r="AB32" s="155">
        <f t="shared" si="0"/>
        <v>0</v>
      </c>
    </row>
    <row r="33" spans="1:28" x14ac:dyDescent="0.3">
      <c r="A33" s="152" t="s">
        <v>33</v>
      </c>
      <c r="B33" s="153" t="s">
        <v>34</v>
      </c>
      <c r="C33" s="154" t="s">
        <v>110</v>
      </c>
      <c r="D33" s="152" t="s">
        <v>36</v>
      </c>
      <c r="E33" s="152" t="s">
        <v>59</v>
      </c>
      <c r="F33" s="152" t="s">
        <v>59</v>
      </c>
      <c r="G33" s="152" t="s">
        <v>37</v>
      </c>
      <c r="H33" s="152" t="s">
        <v>44</v>
      </c>
      <c r="I33" s="152" t="s">
        <v>111</v>
      </c>
      <c r="J33" s="152"/>
      <c r="K33" s="152"/>
      <c r="L33" s="152"/>
      <c r="M33" s="152" t="s">
        <v>39</v>
      </c>
      <c r="N33" s="152" t="s">
        <v>40</v>
      </c>
      <c r="O33" s="152" t="s">
        <v>41</v>
      </c>
      <c r="P33" s="153" t="s">
        <v>112</v>
      </c>
      <c r="Q33" s="155">
        <v>1882474</v>
      </c>
      <c r="R33" s="155">
        <v>0</v>
      </c>
      <c r="S33" s="155">
        <v>0</v>
      </c>
      <c r="T33" s="155">
        <v>1882474</v>
      </c>
      <c r="U33" s="155">
        <v>0</v>
      </c>
      <c r="V33" s="155">
        <v>498156.44</v>
      </c>
      <c r="W33" s="155">
        <v>1384317.56</v>
      </c>
      <c r="X33" s="155">
        <v>498156.44</v>
      </c>
      <c r="Y33" s="155">
        <v>0</v>
      </c>
      <c r="Z33" s="155">
        <v>0</v>
      </c>
      <c r="AA33" s="155">
        <v>0</v>
      </c>
      <c r="AB33" s="155">
        <f t="shared" si="0"/>
        <v>0</v>
      </c>
    </row>
    <row r="34" spans="1:28" x14ac:dyDescent="0.3">
      <c r="A34" s="152" t="s">
        <v>33</v>
      </c>
      <c r="B34" s="153" t="s">
        <v>34</v>
      </c>
      <c r="C34" s="154" t="s">
        <v>113</v>
      </c>
      <c r="D34" s="152" t="s">
        <v>36</v>
      </c>
      <c r="E34" s="152" t="s">
        <v>59</v>
      </c>
      <c r="F34" s="152" t="s">
        <v>59</v>
      </c>
      <c r="G34" s="152" t="s">
        <v>37</v>
      </c>
      <c r="H34" s="152" t="s">
        <v>67</v>
      </c>
      <c r="I34" s="152" t="s">
        <v>62</v>
      </c>
      <c r="J34" s="152"/>
      <c r="K34" s="152"/>
      <c r="L34" s="152"/>
      <c r="M34" s="152" t="s">
        <v>39</v>
      </c>
      <c r="N34" s="152" t="s">
        <v>40</v>
      </c>
      <c r="O34" s="152" t="s">
        <v>41</v>
      </c>
      <c r="P34" s="153" t="s">
        <v>114</v>
      </c>
      <c r="Q34" s="155">
        <v>8639</v>
      </c>
      <c r="R34" s="155">
        <v>0</v>
      </c>
      <c r="S34" s="155">
        <v>0</v>
      </c>
      <c r="T34" s="155">
        <v>8639</v>
      </c>
      <c r="U34" s="155">
        <v>0</v>
      </c>
      <c r="V34" s="155">
        <v>0</v>
      </c>
      <c r="W34" s="155">
        <v>8639</v>
      </c>
      <c r="X34" s="155">
        <v>0</v>
      </c>
      <c r="Y34" s="155">
        <v>0</v>
      </c>
      <c r="Z34" s="155">
        <v>0</v>
      </c>
      <c r="AA34" s="155">
        <v>0</v>
      </c>
      <c r="AB34" s="155">
        <f t="shared" si="0"/>
        <v>0</v>
      </c>
    </row>
    <row r="35" spans="1:28" x14ac:dyDescent="0.3">
      <c r="A35" s="152" t="s">
        <v>33</v>
      </c>
      <c r="B35" s="153" t="s">
        <v>34</v>
      </c>
      <c r="C35" s="154" t="s">
        <v>115</v>
      </c>
      <c r="D35" s="152" t="s">
        <v>36</v>
      </c>
      <c r="E35" s="152" t="s">
        <v>59</v>
      </c>
      <c r="F35" s="152" t="s">
        <v>59</v>
      </c>
      <c r="G35" s="152" t="s">
        <v>37</v>
      </c>
      <c r="H35" s="152" t="s">
        <v>67</v>
      </c>
      <c r="I35" s="152" t="s">
        <v>47</v>
      </c>
      <c r="J35" s="152"/>
      <c r="K35" s="152"/>
      <c r="L35" s="152"/>
      <c r="M35" s="152" t="s">
        <v>39</v>
      </c>
      <c r="N35" s="152" t="s">
        <v>40</v>
      </c>
      <c r="O35" s="152" t="s">
        <v>41</v>
      </c>
      <c r="P35" s="153" t="s">
        <v>116</v>
      </c>
      <c r="Q35" s="155">
        <v>189701</v>
      </c>
      <c r="R35" s="155">
        <v>0</v>
      </c>
      <c r="S35" s="155">
        <v>0</v>
      </c>
      <c r="T35" s="155">
        <v>189701</v>
      </c>
      <c r="U35" s="155">
        <v>0</v>
      </c>
      <c r="V35" s="155">
        <v>0</v>
      </c>
      <c r="W35" s="155">
        <v>189701</v>
      </c>
      <c r="X35" s="155">
        <v>0</v>
      </c>
      <c r="Y35" s="155">
        <v>0</v>
      </c>
      <c r="Z35" s="155">
        <v>0</v>
      </c>
      <c r="AA35" s="155">
        <v>0</v>
      </c>
      <c r="AB35" s="155">
        <f t="shared" si="0"/>
        <v>0</v>
      </c>
    </row>
    <row r="36" spans="1:28" x14ac:dyDescent="0.3">
      <c r="A36" s="152" t="s">
        <v>33</v>
      </c>
      <c r="B36" s="153" t="s">
        <v>34</v>
      </c>
      <c r="C36" s="154" t="s">
        <v>117</v>
      </c>
      <c r="D36" s="152" t="s">
        <v>36</v>
      </c>
      <c r="E36" s="152" t="s">
        <v>59</v>
      </c>
      <c r="F36" s="152" t="s">
        <v>59</v>
      </c>
      <c r="G36" s="152" t="s">
        <v>37</v>
      </c>
      <c r="H36" s="152" t="s">
        <v>67</v>
      </c>
      <c r="I36" s="152" t="s">
        <v>50</v>
      </c>
      <c r="J36" s="152"/>
      <c r="K36" s="152"/>
      <c r="L36" s="152"/>
      <c r="M36" s="152" t="s">
        <v>39</v>
      </c>
      <c r="N36" s="152" t="s">
        <v>40</v>
      </c>
      <c r="O36" s="152" t="s">
        <v>41</v>
      </c>
      <c r="P36" s="153" t="s">
        <v>118</v>
      </c>
      <c r="Q36" s="155">
        <v>1976192368</v>
      </c>
      <c r="R36" s="155">
        <v>0</v>
      </c>
      <c r="S36" s="155">
        <v>1369380691</v>
      </c>
      <c r="T36" s="155">
        <v>606811677</v>
      </c>
      <c r="U36" s="155">
        <v>0</v>
      </c>
      <c r="V36" s="155">
        <v>596786311</v>
      </c>
      <c r="W36" s="155">
        <v>10025366</v>
      </c>
      <c r="X36" s="155">
        <v>0</v>
      </c>
      <c r="Y36" s="155">
        <v>0</v>
      </c>
      <c r="Z36" s="155">
        <v>0</v>
      </c>
      <c r="AA36" s="155">
        <v>0</v>
      </c>
      <c r="AB36" s="155">
        <f t="shared" si="0"/>
        <v>596786311</v>
      </c>
    </row>
    <row r="37" spans="1:28" x14ac:dyDescent="0.3">
      <c r="A37" s="152" t="s">
        <v>33</v>
      </c>
      <c r="B37" s="153" t="s">
        <v>34</v>
      </c>
      <c r="C37" s="154" t="s">
        <v>119</v>
      </c>
      <c r="D37" s="152" t="s">
        <v>36</v>
      </c>
      <c r="E37" s="152" t="s">
        <v>59</v>
      </c>
      <c r="F37" s="152" t="s">
        <v>59</v>
      </c>
      <c r="G37" s="152" t="s">
        <v>37</v>
      </c>
      <c r="H37" s="152" t="s">
        <v>67</v>
      </c>
      <c r="I37" s="152" t="s">
        <v>111</v>
      </c>
      <c r="J37" s="152"/>
      <c r="K37" s="152"/>
      <c r="L37" s="152"/>
      <c r="M37" s="152" t="s">
        <v>39</v>
      </c>
      <c r="N37" s="152" t="s">
        <v>40</v>
      </c>
      <c r="O37" s="152" t="s">
        <v>41</v>
      </c>
      <c r="P37" s="153" t="s">
        <v>120</v>
      </c>
      <c r="Q37" s="155">
        <v>697950</v>
      </c>
      <c r="R37" s="155">
        <v>0</v>
      </c>
      <c r="S37" s="155">
        <v>0</v>
      </c>
      <c r="T37" s="155">
        <v>697950</v>
      </c>
      <c r="U37" s="155">
        <v>0</v>
      </c>
      <c r="V37" s="155">
        <v>0</v>
      </c>
      <c r="W37" s="155">
        <v>697950</v>
      </c>
      <c r="X37" s="155">
        <v>0</v>
      </c>
      <c r="Y37" s="155">
        <v>0</v>
      </c>
      <c r="Z37" s="155">
        <v>0</v>
      </c>
      <c r="AA37" s="155">
        <v>0</v>
      </c>
      <c r="AB37" s="155">
        <f t="shared" si="0"/>
        <v>0</v>
      </c>
    </row>
    <row r="38" spans="1:28" x14ac:dyDescent="0.3">
      <c r="A38" s="152" t="s">
        <v>33</v>
      </c>
      <c r="B38" s="153" t="s">
        <v>34</v>
      </c>
      <c r="C38" s="154" t="s">
        <v>121</v>
      </c>
      <c r="D38" s="152" t="s">
        <v>36</v>
      </c>
      <c r="E38" s="152" t="s">
        <v>59</v>
      </c>
      <c r="F38" s="152" t="s">
        <v>59</v>
      </c>
      <c r="G38" s="152" t="s">
        <v>59</v>
      </c>
      <c r="H38" s="152" t="s">
        <v>47</v>
      </c>
      <c r="I38" s="152" t="s">
        <v>44</v>
      </c>
      <c r="J38" s="152"/>
      <c r="K38" s="152"/>
      <c r="L38" s="152"/>
      <c r="M38" s="152" t="s">
        <v>39</v>
      </c>
      <c r="N38" s="152" t="s">
        <v>40</v>
      </c>
      <c r="O38" s="152" t="s">
        <v>41</v>
      </c>
      <c r="P38" s="153" t="s">
        <v>122</v>
      </c>
      <c r="Q38" s="155">
        <v>51283597</v>
      </c>
      <c r="R38" s="155">
        <v>0</v>
      </c>
      <c r="S38" s="155">
        <v>0</v>
      </c>
      <c r="T38" s="155">
        <v>51283597</v>
      </c>
      <c r="U38" s="155">
        <v>0</v>
      </c>
      <c r="V38" s="155">
        <v>14788010.24</v>
      </c>
      <c r="W38" s="155">
        <v>36495586.759999998</v>
      </c>
      <c r="X38" s="155">
        <v>14788010.24</v>
      </c>
      <c r="Y38" s="155">
        <v>0</v>
      </c>
      <c r="Z38" s="155">
        <v>0</v>
      </c>
      <c r="AA38" s="155">
        <v>0</v>
      </c>
      <c r="AB38" s="155">
        <f t="shared" si="0"/>
        <v>0</v>
      </c>
    </row>
    <row r="39" spans="1:28" x14ac:dyDescent="0.3">
      <c r="A39" s="152" t="s">
        <v>33</v>
      </c>
      <c r="B39" s="153" t="s">
        <v>34</v>
      </c>
      <c r="C39" s="154" t="s">
        <v>123</v>
      </c>
      <c r="D39" s="152" t="s">
        <v>36</v>
      </c>
      <c r="E39" s="152" t="s">
        <v>59</v>
      </c>
      <c r="F39" s="152" t="s">
        <v>59</v>
      </c>
      <c r="G39" s="152" t="s">
        <v>59</v>
      </c>
      <c r="H39" s="152" t="s">
        <v>47</v>
      </c>
      <c r="I39" s="152" t="s">
        <v>67</v>
      </c>
      <c r="J39" s="152"/>
      <c r="K39" s="152"/>
      <c r="L39" s="152"/>
      <c r="M39" s="152" t="s">
        <v>39</v>
      </c>
      <c r="N39" s="152" t="s">
        <v>40</v>
      </c>
      <c r="O39" s="152" t="s">
        <v>41</v>
      </c>
      <c r="P39" s="153" t="s">
        <v>124</v>
      </c>
      <c r="Q39" s="155">
        <v>804389389</v>
      </c>
      <c r="R39" s="155">
        <v>62270209</v>
      </c>
      <c r="S39" s="155">
        <v>0</v>
      </c>
      <c r="T39" s="155">
        <v>866659598</v>
      </c>
      <c r="U39" s="155">
        <v>0</v>
      </c>
      <c r="V39" s="155">
        <v>293254062.27999997</v>
      </c>
      <c r="W39" s="155">
        <v>573405535.72000003</v>
      </c>
      <c r="X39" s="155">
        <v>292554062.27999997</v>
      </c>
      <c r="Y39" s="155">
        <v>0</v>
      </c>
      <c r="Z39" s="155">
        <v>0</v>
      </c>
      <c r="AA39" s="155">
        <v>0</v>
      </c>
      <c r="AB39" s="155">
        <f t="shared" si="0"/>
        <v>700000</v>
      </c>
    </row>
    <row r="40" spans="1:28" x14ac:dyDescent="0.3">
      <c r="A40" s="152" t="s">
        <v>33</v>
      </c>
      <c r="B40" s="153" t="s">
        <v>34</v>
      </c>
      <c r="C40" s="154" t="s">
        <v>125</v>
      </c>
      <c r="D40" s="152" t="s">
        <v>36</v>
      </c>
      <c r="E40" s="152" t="s">
        <v>59</v>
      </c>
      <c r="F40" s="152" t="s">
        <v>59</v>
      </c>
      <c r="G40" s="152" t="s">
        <v>59</v>
      </c>
      <c r="H40" s="152" t="s">
        <v>47</v>
      </c>
      <c r="I40" s="152" t="s">
        <v>111</v>
      </c>
      <c r="J40" s="152"/>
      <c r="K40" s="152"/>
      <c r="L40" s="152"/>
      <c r="M40" s="152" t="s">
        <v>39</v>
      </c>
      <c r="N40" s="152" t="s">
        <v>40</v>
      </c>
      <c r="O40" s="152" t="s">
        <v>41</v>
      </c>
      <c r="P40" s="153" t="s">
        <v>126</v>
      </c>
      <c r="Q40" s="155">
        <v>130328133</v>
      </c>
      <c r="R40" s="155">
        <v>0</v>
      </c>
      <c r="S40" s="155">
        <v>0</v>
      </c>
      <c r="T40" s="155">
        <v>130328133</v>
      </c>
      <c r="U40" s="155">
        <v>0</v>
      </c>
      <c r="V40" s="155">
        <v>55458780</v>
      </c>
      <c r="W40" s="155">
        <v>74869353</v>
      </c>
      <c r="X40" s="155">
        <v>55458780</v>
      </c>
      <c r="Y40" s="155">
        <v>0</v>
      </c>
      <c r="Z40" s="155">
        <v>0</v>
      </c>
      <c r="AA40" s="155">
        <v>0</v>
      </c>
      <c r="AB40" s="155">
        <f t="shared" si="0"/>
        <v>0</v>
      </c>
    </row>
    <row r="41" spans="1:28" x14ac:dyDescent="0.3">
      <c r="A41" s="152" t="s">
        <v>33</v>
      </c>
      <c r="B41" s="153" t="s">
        <v>34</v>
      </c>
      <c r="C41" s="154" t="s">
        <v>127</v>
      </c>
      <c r="D41" s="152" t="s">
        <v>36</v>
      </c>
      <c r="E41" s="152" t="s">
        <v>59</v>
      </c>
      <c r="F41" s="152" t="s">
        <v>59</v>
      </c>
      <c r="G41" s="152" t="s">
        <v>59</v>
      </c>
      <c r="H41" s="152" t="s">
        <v>47</v>
      </c>
      <c r="I41" s="152" t="s">
        <v>53</v>
      </c>
      <c r="J41" s="152"/>
      <c r="K41" s="152"/>
      <c r="L41" s="152"/>
      <c r="M41" s="152" t="s">
        <v>39</v>
      </c>
      <c r="N41" s="152" t="s">
        <v>40</v>
      </c>
      <c r="O41" s="152" t="s">
        <v>41</v>
      </c>
      <c r="P41" s="153" t="s">
        <v>128</v>
      </c>
      <c r="Q41" s="155">
        <v>240000000</v>
      </c>
      <c r="R41" s="155">
        <v>0</v>
      </c>
      <c r="S41" s="155">
        <v>0</v>
      </c>
      <c r="T41" s="155">
        <v>240000000</v>
      </c>
      <c r="U41" s="155">
        <v>0</v>
      </c>
      <c r="V41" s="155">
        <v>240000000</v>
      </c>
      <c r="W41" s="155">
        <v>0</v>
      </c>
      <c r="X41" s="155">
        <v>15657870</v>
      </c>
      <c r="Y41" s="155">
        <v>15657870</v>
      </c>
      <c r="Z41" s="155">
        <v>15657870</v>
      </c>
      <c r="AA41" s="155">
        <v>15657870</v>
      </c>
      <c r="AB41" s="155">
        <f t="shared" si="0"/>
        <v>224342130</v>
      </c>
    </row>
    <row r="42" spans="1:28" x14ac:dyDescent="0.3">
      <c r="A42" s="152" t="s">
        <v>33</v>
      </c>
      <c r="B42" s="153" t="s">
        <v>34</v>
      </c>
      <c r="C42" s="154" t="s">
        <v>129</v>
      </c>
      <c r="D42" s="152" t="s">
        <v>36</v>
      </c>
      <c r="E42" s="152" t="s">
        <v>59</v>
      </c>
      <c r="F42" s="152" t="s">
        <v>59</v>
      </c>
      <c r="G42" s="152" t="s">
        <v>59</v>
      </c>
      <c r="H42" s="152" t="s">
        <v>50</v>
      </c>
      <c r="I42" s="152" t="s">
        <v>38</v>
      </c>
      <c r="J42" s="152"/>
      <c r="K42" s="152"/>
      <c r="L42" s="152"/>
      <c r="M42" s="152" t="s">
        <v>39</v>
      </c>
      <c r="N42" s="152" t="s">
        <v>40</v>
      </c>
      <c r="O42" s="152" t="s">
        <v>41</v>
      </c>
      <c r="P42" s="153" t="s">
        <v>130</v>
      </c>
      <c r="Q42" s="155">
        <v>2000000</v>
      </c>
      <c r="R42" s="155">
        <v>0</v>
      </c>
      <c r="S42" s="155">
        <v>0</v>
      </c>
      <c r="T42" s="155">
        <v>2000000</v>
      </c>
      <c r="U42" s="155">
        <v>0</v>
      </c>
      <c r="V42" s="155">
        <v>0</v>
      </c>
      <c r="W42" s="155">
        <v>2000000</v>
      </c>
      <c r="X42" s="155">
        <v>0</v>
      </c>
      <c r="Y42" s="155">
        <v>0</v>
      </c>
      <c r="Z42" s="155">
        <v>0</v>
      </c>
      <c r="AA42" s="155">
        <v>0</v>
      </c>
      <c r="AB42" s="155">
        <f t="shared" si="0"/>
        <v>0</v>
      </c>
    </row>
    <row r="43" spans="1:28" x14ac:dyDescent="0.3">
      <c r="A43" s="152" t="s">
        <v>33</v>
      </c>
      <c r="B43" s="153" t="s">
        <v>34</v>
      </c>
      <c r="C43" s="154" t="s">
        <v>131</v>
      </c>
      <c r="D43" s="152" t="s">
        <v>36</v>
      </c>
      <c r="E43" s="152" t="s">
        <v>59</v>
      </c>
      <c r="F43" s="152" t="s">
        <v>59</v>
      </c>
      <c r="G43" s="152" t="s">
        <v>59</v>
      </c>
      <c r="H43" s="152" t="s">
        <v>50</v>
      </c>
      <c r="I43" s="152" t="s">
        <v>62</v>
      </c>
      <c r="J43" s="152"/>
      <c r="K43" s="152"/>
      <c r="L43" s="152"/>
      <c r="M43" s="152" t="s">
        <v>39</v>
      </c>
      <c r="N43" s="152" t="s">
        <v>40</v>
      </c>
      <c r="O43" s="152" t="s">
        <v>41</v>
      </c>
      <c r="P43" s="153" t="s">
        <v>132</v>
      </c>
      <c r="Q43" s="155">
        <v>6936032</v>
      </c>
      <c r="R43" s="155">
        <v>6936032000</v>
      </c>
      <c r="S43" s="155">
        <v>2393880032</v>
      </c>
      <c r="T43" s="155">
        <v>4549088000</v>
      </c>
      <c r="U43" s="155">
        <v>0</v>
      </c>
      <c r="V43" s="155">
        <v>2520000000</v>
      </c>
      <c r="W43" s="155">
        <v>2029088000</v>
      </c>
      <c r="X43" s="155">
        <v>2520000000</v>
      </c>
      <c r="Y43" s="155">
        <v>0</v>
      </c>
      <c r="Z43" s="155">
        <v>0</v>
      </c>
      <c r="AA43" s="155">
        <v>0</v>
      </c>
      <c r="AB43" s="155">
        <f t="shared" si="0"/>
        <v>0</v>
      </c>
    </row>
    <row r="44" spans="1:28" x14ac:dyDescent="0.3">
      <c r="A44" s="152" t="s">
        <v>33</v>
      </c>
      <c r="B44" s="153" t="s">
        <v>34</v>
      </c>
      <c r="C44" s="154" t="s">
        <v>133</v>
      </c>
      <c r="D44" s="152" t="s">
        <v>36</v>
      </c>
      <c r="E44" s="152" t="s">
        <v>59</v>
      </c>
      <c r="F44" s="152" t="s">
        <v>59</v>
      </c>
      <c r="G44" s="152" t="s">
        <v>59</v>
      </c>
      <c r="H44" s="152" t="s">
        <v>50</v>
      </c>
      <c r="I44" s="152" t="s">
        <v>44</v>
      </c>
      <c r="J44" s="152"/>
      <c r="K44" s="152"/>
      <c r="L44" s="152"/>
      <c r="M44" s="152" t="s">
        <v>39</v>
      </c>
      <c r="N44" s="152" t="s">
        <v>40</v>
      </c>
      <c r="O44" s="152" t="s">
        <v>41</v>
      </c>
      <c r="P44" s="153" t="s">
        <v>134</v>
      </c>
      <c r="Q44" s="155">
        <v>212138622</v>
      </c>
      <c r="R44" s="155">
        <v>0</v>
      </c>
      <c r="S44" s="155">
        <v>41142787</v>
      </c>
      <c r="T44" s="155">
        <v>170995835</v>
      </c>
      <c r="U44" s="155">
        <v>0</v>
      </c>
      <c r="V44" s="155">
        <v>151215057.88</v>
      </c>
      <c r="W44" s="155">
        <v>19780777.120000001</v>
      </c>
      <c r="X44" s="155">
        <v>69499203.879999995</v>
      </c>
      <c r="Y44" s="155">
        <v>0</v>
      </c>
      <c r="Z44" s="155">
        <v>0</v>
      </c>
      <c r="AA44" s="155">
        <v>0</v>
      </c>
      <c r="AB44" s="155">
        <f t="shared" si="0"/>
        <v>81715854</v>
      </c>
    </row>
    <row r="45" spans="1:28" x14ac:dyDescent="0.3">
      <c r="A45" s="152" t="s">
        <v>33</v>
      </c>
      <c r="B45" s="153" t="s">
        <v>34</v>
      </c>
      <c r="C45" s="154" t="s">
        <v>135</v>
      </c>
      <c r="D45" s="152" t="s">
        <v>36</v>
      </c>
      <c r="E45" s="152" t="s">
        <v>59</v>
      </c>
      <c r="F45" s="152" t="s">
        <v>59</v>
      </c>
      <c r="G45" s="152" t="s">
        <v>59</v>
      </c>
      <c r="H45" s="152" t="s">
        <v>111</v>
      </c>
      <c r="I45" s="152" t="s">
        <v>62</v>
      </c>
      <c r="J45" s="152"/>
      <c r="K45" s="152"/>
      <c r="L45" s="152"/>
      <c r="M45" s="152" t="s">
        <v>39</v>
      </c>
      <c r="N45" s="152" t="s">
        <v>40</v>
      </c>
      <c r="O45" s="152" t="s">
        <v>41</v>
      </c>
      <c r="P45" s="153" t="s">
        <v>136</v>
      </c>
      <c r="Q45" s="155">
        <v>2692134398</v>
      </c>
      <c r="R45" s="155">
        <v>115689298635</v>
      </c>
      <c r="S45" s="155">
        <v>0</v>
      </c>
      <c r="T45" s="155">
        <v>118381433033</v>
      </c>
      <c r="U45" s="155">
        <v>0</v>
      </c>
      <c r="V45" s="155">
        <v>88130273288.330002</v>
      </c>
      <c r="W45" s="155">
        <v>30251159744.669998</v>
      </c>
      <c r="X45" s="155">
        <v>87964636685.330002</v>
      </c>
      <c r="Y45" s="155">
        <v>0</v>
      </c>
      <c r="Z45" s="155">
        <v>0</v>
      </c>
      <c r="AA45" s="155">
        <v>0</v>
      </c>
      <c r="AB45" s="155">
        <f t="shared" si="0"/>
        <v>165636603</v>
      </c>
    </row>
    <row r="46" spans="1:28" x14ac:dyDescent="0.3">
      <c r="A46" s="152" t="s">
        <v>33</v>
      </c>
      <c r="B46" s="153" t="s">
        <v>34</v>
      </c>
      <c r="C46" s="154" t="s">
        <v>137</v>
      </c>
      <c r="D46" s="152" t="s">
        <v>36</v>
      </c>
      <c r="E46" s="152" t="s">
        <v>59</v>
      </c>
      <c r="F46" s="152" t="s">
        <v>59</v>
      </c>
      <c r="G46" s="152" t="s">
        <v>59</v>
      </c>
      <c r="H46" s="152" t="s">
        <v>111</v>
      </c>
      <c r="I46" s="152" t="s">
        <v>44</v>
      </c>
      <c r="J46" s="152"/>
      <c r="K46" s="152"/>
      <c r="L46" s="152"/>
      <c r="M46" s="152" t="s">
        <v>39</v>
      </c>
      <c r="N46" s="152" t="s">
        <v>40</v>
      </c>
      <c r="O46" s="152" t="s">
        <v>41</v>
      </c>
      <c r="P46" s="153" t="s">
        <v>138</v>
      </c>
      <c r="Q46" s="155">
        <v>4498293407</v>
      </c>
      <c r="R46" s="155">
        <v>36778050954</v>
      </c>
      <c r="S46" s="155">
        <v>106105311</v>
      </c>
      <c r="T46" s="155">
        <v>41170239050</v>
      </c>
      <c r="U46" s="155">
        <v>0</v>
      </c>
      <c r="V46" s="155">
        <v>9612501172.2299995</v>
      </c>
      <c r="W46" s="155">
        <v>31557737877.77</v>
      </c>
      <c r="X46" s="155">
        <v>6366669488.2299995</v>
      </c>
      <c r="Y46" s="155">
        <v>35810173.369999997</v>
      </c>
      <c r="Z46" s="155">
        <v>35810173.369999997</v>
      </c>
      <c r="AA46" s="155">
        <v>35810173.369999997</v>
      </c>
      <c r="AB46" s="155">
        <f t="shared" si="0"/>
        <v>3245831684</v>
      </c>
    </row>
    <row r="47" spans="1:28" x14ac:dyDescent="0.3">
      <c r="A47" s="152" t="s">
        <v>33</v>
      </c>
      <c r="B47" s="153" t="s">
        <v>34</v>
      </c>
      <c r="C47" s="154" t="s">
        <v>139</v>
      </c>
      <c r="D47" s="152" t="s">
        <v>36</v>
      </c>
      <c r="E47" s="152" t="s">
        <v>59</v>
      </c>
      <c r="F47" s="152" t="s">
        <v>59</v>
      </c>
      <c r="G47" s="152" t="s">
        <v>59</v>
      </c>
      <c r="H47" s="152" t="s">
        <v>111</v>
      </c>
      <c r="I47" s="152" t="s">
        <v>67</v>
      </c>
      <c r="J47" s="152"/>
      <c r="K47" s="152"/>
      <c r="L47" s="152"/>
      <c r="M47" s="152" t="s">
        <v>39</v>
      </c>
      <c r="N47" s="152" t="s">
        <v>40</v>
      </c>
      <c r="O47" s="152" t="s">
        <v>41</v>
      </c>
      <c r="P47" s="153" t="s">
        <v>140</v>
      </c>
      <c r="Q47" s="155">
        <v>774251640</v>
      </c>
      <c r="R47" s="155">
        <v>3409999</v>
      </c>
      <c r="S47" s="155">
        <v>0</v>
      </c>
      <c r="T47" s="155">
        <v>777661639</v>
      </c>
      <c r="U47" s="155">
        <v>0</v>
      </c>
      <c r="V47" s="155">
        <v>489844342</v>
      </c>
      <c r="W47" s="155">
        <v>287817297</v>
      </c>
      <c r="X47" s="155">
        <v>293023267</v>
      </c>
      <c r="Y47" s="155">
        <v>8163795.1299999999</v>
      </c>
      <c r="Z47" s="155">
        <v>8163795.1299999999</v>
      </c>
      <c r="AA47" s="155">
        <v>8163795.1299999999</v>
      </c>
      <c r="AB47" s="155">
        <f t="shared" si="0"/>
        <v>196821075</v>
      </c>
    </row>
    <row r="48" spans="1:28" x14ac:dyDescent="0.3">
      <c r="A48" s="152" t="s">
        <v>33</v>
      </c>
      <c r="B48" s="153" t="s">
        <v>34</v>
      </c>
      <c r="C48" s="154" t="s">
        <v>141</v>
      </c>
      <c r="D48" s="152" t="s">
        <v>36</v>
      </c>
      <c r="E48" s="152" t="s">
        <v>59</v>
      </c>
      <c r="F48" s="152" t="s">
        <v>59</v>
      </c>
      <c r="G48" s="152" t="s">
        <v>59</v>
      </c>
      <c r="H48" s="152" t="s">
        <v>111</v>
      </c>
      <c r="I48" s="152" t="s">
        <v>70</v>
      </c>
      <c r="J48" s="152"/>
      <c r="K48" s="152"/>
      <c r="L48" s="152"/>
      <c r="M48" s="152" t="s">
        <v>39</v>
      </c>
      <c r="N48" s="152" t="s">
        <v>40</v>
      </c>
      <c r="O48" s="152" t="s">
        <v>41</v>
      </c>
      <c r="P48" s="153" t="s">
        <v>142</v>
      </c>
      <c r="Q48" s="155">
        <v>2205612308</v>
      </c>
      <c r="R48" s="155">
        <v>1000000000</v>
      </c>
      <c r="S48" s="155">
        <v>680391426</v>
      </c>
      <c r="T48" s="155">
        <v>2525220882</v>
      </c>
      <c r="U48" s="155">
        <v>0</v>
      </c>
      <c r="V48" s="155">
        <v>1661390078.1700001</v>
      </c>
      <c r="W48" s="155">
        <v>863830803.83000004</v>
      </c>
      <c r="X48" s="155">
        <v>1434027012.76</v>
      </c>
      <c r="Y48" s="155">
        <v>0</v>
      </c>
      <c r="Z48" s="155">
        <v>0</v>
      </c>
      <c r="AA48" s="155">
        <v>0</v>
      </c>
      <c r="AB48" s="155">
        <f t="shared" si="0"/>
        <v>227363065.41000009</v>
      </c>
    </row>
    <row r="49" spans="1:28" x14ac:dyDescent="0.3">
      <c r="A49" s="152" t="s">
        <v>33</v>
      </c>
      <c r="B49" s="153" t="s">
        <v>34</v>
      </c>
      <c r="C49" s="154" t="s">
        <v>143</v>
      </c>
      <c r="D49" s="152" t="s">
        <v>36</v>
      </c>
      <c r="E49" s="152" t="s">
        <v>59</v>
      </c>
      <c r="F49" s="152" t="s">
        <v>59</v>
      </c>
      <c r="G49" s="152" t="s">
        <v>59</v>
      </c>
      <c r="H49" s="152" t="s">
        <v>111</v>
      </c>
      <c r="I49" s="152" t="s">
        <v>50</v>
      </c>
      <c r="J49" s="152"/>
      <c r="K49" s="152"/>
      <c r="L49" s="152"/>
      <c r="M49" s="152" t="s">
        <v>39</v>
      </c>
      <c r="N49" s="152" t="s">
        <v>40</v>
      </c>
      <c r="O49" s="152" t="s">
        <v>41</v>
      </c>
      <c r="P49" s="153" t="s">
        <v>144</v>
      </c>
      <c r="Q49" s="155">
        <v>2093850</v>
      </c>
      <c r="R49" s="155">
        <v>0</v>
      </c>
      <c r="S49" s="155">
        <v>0</v>
      </c>
      <c r="T49" s="155">
        <v>2093850</v>
      </c>
      <c r="U49" s="155">
        <v>0</v>
      </c>
      <c r="V49" s="155">
        <v>0</v>
      </c>
      <c r="W49" s="155">
        <v>2093850</v>
      </c>
      <c r="X49" s="155">
        <v>0</v>
      </c>
      <c r="Y49" s="155">
        <v>0</v>
      </c>
      <c r="Z49" s="155">
        <v>0</v>
      </c>
      <c r="AA49" s="155">
        <v>0</v>
      </c>
      <c r="AB49" s="155">
        <f t="shared" si="0"/>
        <v>0</v>
      </c>
    </row>
    <row r="50" spans="1:28" x14ac:dyDescent="0.3">
      <c r="A50" s="152" t="s">
        <v>33</v>
      </c>
      <c r="B50" s="153" t="s">
        <v>34</v>
      </c>
      <c r="C50" s="154" t="s">
        <v>145</v>
      </c>
      <c r="D50" s="152" t="s">
        <v>36</v>
      </c>
      <c r="E50" s="152" t="s">
        <v>59</v>
      </c>
      <c r="F50" s="152" t="s">
        <v>59</v>
      </c>
      <c r="G50" s="152" t="s">
        <v>59</v>
      </c>
      <c r="H50" s="152" t="s">
        <v>111</v>
      </c>
      <c r="I50" s="152" t="s">
        <v>53</v>
      </c>
      <c r="J50" s="152"/>
      <c r="K50" s="152"/>
      <c r="L50" s="152"/>
      <c r="M50" s="152" t="s">
        <v>39</v>
      </c>
      <c r="N50" s="152" t="s">
        <v>40</v>
      </c>
      <c r="O50" s="152" t="s">
        <v>41</v>
      </c>
      <c r="P50" s="153" t="s">
        <v>146</v>
      </c>
      <c r="Q50" s="155">
        <v>42000000</v>
      </c>
      <c r="R50" s="155">
        <v>0</v>
      </c>
      <c r="S50" s="155">
        <v>0</v>
      </c>
      <c r="T50" s="155">
        <v>42000000</v>
      </c>
      <c r="U50" s="155">
        <v>0</v>
      </c>
      <c r="V50" s="155">
        <v>40700000</v>
      </c>
      <c r="W50" s="155">
        <v>1300000</v>
      </c>
      <c r="X50" s="155">
        <v>38853500</v>
      </c>
      <c r="Y50" s="155">
        <v>0</v>
      </c>
      <c r="Z50" s="155">
        <v>0</v>
      </c>
      <c r="AA50" s="155">
        <v>0</v>
      </c>
      <c r="AB50" s="155">
        <f t="shared" si="0"/>
        <v>1846500</v>
      </c>
    </row>
    <row r="51" spans="1:28" x14ac:dyDescent="0.3">
      <c r="A51" s="152" t="s">
        <v>33</v>
      </c>
      <c r="B51" s="153" t="s">
        <v>34</v>
      </c>
      <c r="C51" s="154" t="s">
        <v>147</v>
      </c>
      <c r="D51" s="152" t="s">
        <v>36</v>
      </c>
      <c r="E51" s="152" t="s">
        <v>59</v>
      </c>
      <c r="F51" s="152" t="s">
        <v>59</v>
      </c>
      <c r="G51" s="152" t="s">
        <v>59</v>
      </c>
      <c r="H51" s="152" t="s">
        <v>53</v>
      </c>
      <c r="I51" s="152" t="s">
        <v>62</v>
      </c>
      <c r="J51" s="152"/>
      <c r="K51" s="152"/>
      <c r="L51" s="152"/>
      <c r="M51" s="152" t="s">
        <v>39</v>
      </c>
      <c r="N51" s="152" t="s">
        <v>40</v>
      </c>
      <c r="O51" s="152" t="s">
        <v>41</v>
      </c>
      <c r="P51" s="153" t="s">
        <v>148</v>
      </c>
      <c r="Q51" s="155">
        <v>140000000</v>
      </c>
      <c r="R51" s="155">
        <v>0</v>
      </c>
      <c r="S51" s="155">
        <v>10000000</v>
      </c>
      <c r="T51" s="155">
        <v>130000000</v>
      </c>
      <c r="U51" s="155">
        <v>0</v>
      </c>
      <c r="V51" s="155">
        <v>0</v>
      </c>
      <c r="W51" s="155">
        <v>130000000</v>
      </c>
      <c r="X51" s="155">
        <v>0</v>
      </c>
      <c r="Y51" s="155">
        <v>0</v>
      </c>
      <c r="Z51" s="155">
        <v>0</v>
      </c>
      <c r="AA51" s="155">
        <v>0</v>
      </c>
      <c r="AB51" s="155">
        <f t="shared" si="0"/>
        <v>0</v>
      </c>
    </row>
    <row r="52" spans="1:28" x14ac:dyDescent="0.3">
      <c r="A52" s="152" t="s">
        <v>33</v>
      </c>
      <c r="B52" s="153" t="s">
        <v>34</v>
      </c>
      <c r="C52" s="154" t="s">
        <v>149</v>
      </c>
      <c r="D52" s="152" t="s">
        <v>36</v>
      </c>
      <c r="E52" s="152" t="s">
        <v>59</v>
      </c>
      <c r="F52" s="152" t="s">
        <v>59</v>
      </c>
      <c r="G52" s="152" t="s">
        <v>59</v>
      </c>
      <c r="H52" s="152" t="s">
        <v>53</v>
      </c>
      <c r="I52" s="152" t="s">
        <v>44</v>
      </c>
      <c r="J52" s="152"/>
      <c r="K52" s="152"/>
      <c r="L52" s="152"/>
      <c r="M52" s="152" t="s">
        <v>39</v>
      </c>
      <c r="N52" s="152" t="s">
        <v>40</v>
      </c>
      <c r="O52" s="152" t="s">
        <v>41</v>
      </c>
      <c r="P52" s="153" t="s">
        <v>150</v>
      </c>
      <c r="Q52" s="155">
        <v>17078811</v>
      </c>
      <c r="R52" s="155">
        <v>0</v>
      </c>
      <c r="S52" s="155">
        <v>0</v>
      </c>
      <c r="T52" s="155">
        <v>17078811</v>
      </c>
      <c r="U52" s="155">
        <v>0</v>
      </c>
      <c r="V52" s="155">
        <v>4675323</v>
      </c>
      <c r="W52" s="155">
        <v>12403488</v>
      </c>
      <c r="X52" s="155">
        <v>4675323</v>
      </c>
      <c r="Y52" s="155">
        <v>0</v>
      </c>
      <c r="Z52" s="155">
        <v>0</v>
      </c>
      <c r="AA52" s="155">
        <v>0</v>
      </c>
      <c r="AB52" s="155">
        <f t="shared" si="0"/>
        <v>0</v>
      </c>
    </row>
    <row r="53" spans="1:28" x14ac:dyDescent="0.3">
      <c r="A53" s="152" t="s">
        <v>33</v>
      </c>
      <c r="B53" s="153" t="s">
        <v>34</v>
      </c>
      <c r="C53" s="154" t="s">
        <v>151</v>
      </c>
      <c r="D53" s="152" t="s">
        <v>36</v>
      </c>
      <c r="E53" s="152" t="s">
        <v>59</v>
      </c>
      <c r="F53" s="152" t="s">
        <v>59</v>
      </c>
      <c r="G53" s="152" t="s">
        <v>59</v>
      </c>
      <c r="H53" s="152" t="s">
        <v>53</v>
      </c>
      <c r="I53" s="152" t="s">
        <v>67</v>
      </c>
      <c r="J53" s="152"/>
      <c r="K53" s="152"/>
      <c r="L53" s="152"/>
      <c r="M53" s="152" t="s">
        <v>39</v>
      </c>
      <c r="N53" s="152" t="s">
        <v>40</v>
      </c>
      <c r="O53" s="152" t="s">
        <v>41</v>
      </c>
      <c r="P53" s="153" t="s">
        <v>152</v>
      </c>
      <c r="Q53" s="155">
        <v>2400000</v>
      </c>
      <c r="R53" s="155">
        <v>0</v>
      </c>
      <c r="S53" s="155">
        <v>0</v>
      </c>
      <c r="T53" s="155">
        <v>2400000</v>
      </c>
      <c r="U53" s="155">
        <v>0</v>
      </c>
      <c r="V53" s="155">
        <v>2400000</v>
      </c>
      <c r="W53" s="155">
        <v>0</v>
      </c>
      <c r="X53" s="155">
        <v>28700</v>
      </c>
      <c r="Y53" s="155">
        <v>28700</v>
      </c>
      <c r="Z53" s="155">
        <v>28700</v>
      </c>
      <c r="AA53" s="155">
        <v>28700</v>
      </c>
      <c r="AB53" s="155">
        <f t="shared" si="0"/>
        <v>2371300</v>
      </c>
    </row>
    <row r="54" spans="1:28" x14ac:dyDescent="0.3">
      <c r="A54" s="152" t="s">
        <v>33</v>
      </c>
      <c r="B54" s="153" t="s">
        <v>34</v>
      </c>
      <c r="C54" s="154" t="s">
        <v>153</v>
      </c>
      <c r="D54" s="152" t="s">
        <v>36</v>
      </c>
      <c r="E54" s="152" t="s">
        <v>59</v>
      </c>
      <c r="F54" s="152" t="s">
        <v>59</v>
      </c>
      <c r="G54" s="152" t="s">
        <v>59</v>
      </c>
      <c r="H54" s="152" t="s">
        <v>53</v>
      </c>
      <c r="I54" s="152" t="s">
        <v>47</v>
      </c>
      <c r="J54" s="152"/>
      <c r="K54" s="152"/>
      <c r="L54" s="152"/>
      <c r="M54" s="152" t="s">
        <v>39</v>
      </c>
      <c r="N54" s="152" t="s">
        <v>40</v>
      </c>
      <c r="O54" s="152" t="s">
        <v>41</v>
      </c>
      <c r="P54" s="153" t="s">
        <v>154</v>
      </c>
      <c r="Q54" s="155">
        <v>300000000</v>
      </c>
      <c r="R54" s="155">
        <v>0</v>
      </c>
      <c r="S54" s="155">
        <v>50000000</v>
      </c>
      <c r="T54" s="155">
        <v>250000000</v>
      </c>
      <c r="U54" s="155">
        <v>0</v>
      </c>
      <c r="V54" s="155">
        <v>0</v>
      </c>
      <c r="W54" s="155">
        <v>250000000</v>
      </c>
      <c r="X54" s="155">
        <v>0</v>
      </c>
      <c r="Y54" s="155">
        <v>0</v>
      </c>
      <c r="Z54" s="155">
        <v>0</v>
      </c>
      <c r="AA54" s="155">
        <v>0</v>
      </c>
      <c r="AB54" s="155">
        <f t="shared" si="0"/>
        <v>0</v>
      </c>
    </row>
    <row r="55" spans="1:28" x14ac:dyDescent="0.3">
      <c r="A55" s="152" t="s">
        <v>33</v>
      </c>
      <c r="B55" s="153" t="s">
        <v>34</v>
      </c>
      <c r="C55" s="154" t="s">
        <v>155</v>
      </c>
      <c r="D55" s="152" t="s">
        <v>36</v>
      </c>
      <c r="E55" s="152" t="s">
        <v>59</v>
      </c>
      <c r="F55" s="152" t="s">
        <v>59</v>
      </c>
      <c r="G55" s="152" t="s">
        <v>59</v>
      </c>
      <c r="H55" s="152" t="s">
        <v>56</v>
      </c>
      <c r="I55" s="152"/>
      <c r="J55" s="152"/>
      <c r="K55" s="152"/>
      <c r="L55" s="152"/>
      <c r="M55" s="152" t="s">
        <v>39</v>
      </c>
      <c r="N55" s="152" t="s">
        <v>40</v>
      </c>
      <c r="O55" s="152" t="s">
        <v>41</v>
      </c>
      <c r="P55" s="153" t="s">
        <v>156</v>
      </c>
      <c r="Q55" s="155">
        <v>320000000</v>
      </c>
      <c r="R55" s="155">
        <v>0</v>
      </c>
      <c r="S55" s="155">
        <v>20000000</v>
      </c>
      <c r="T55" s="155">
        <v>300000000</v>
      </c>
      <c r="U55" s="155">
        <v>0</v>
      </c>
      <c r="V55" s="155">
        <v>300000000</v>
      </c>
      <c r="W55" s="155">
        <v>0</v>
      </c>
      <c r="X55" s="155">
        <v>1664810</v>
      </c>
      <c r="Y55" s="155">
        <v>1664810</v>
      </c>
      <c r="Z55" s="155">
        <v>1664810</v>
      </c>
      <c r="AA55" s="155">
        <v>1664810</v>
      </c>
      <c r="AB55" s="155">
        <f t="shared" si="0"/>
        <v>298335190</v>
      </c>
    </row>
    <row r="56" spans="1:28" x14ac:dyDescent="0.3">
      <c r="A56" s="152" t="s">
        <v>33</v>
      </c>
      <c r="B56" s="153" t="s">
        <v>34</v>
      </c>
      <c r="C56" s="154" t="s">
        <v>157</v>
      </c>
      <c r="D56" s="152" t="s">
        <v>36</v>
      </c>
      <c r="E56" s="152" t="s">
        <v>77</v>
      </c>
      <c r="F56" s="152" t="s">
        <v>158</v>
      </c>
      <c r="G56" s="152" t="s">
        <v>59</v>
      </c>
      <c r="H56" s="152" t="s">
        <v>159</v>
      </c>
      <c r="I56" s="152" t="s">
        <v>38</v>
      </c>
      <c r="J56" s="152"/>
      <c r="K56" s="152"/>
      <c r="L56" s="152"/>
      <c r="M56" s="152" t="s">
        <v>39</v>
      </c>
      <c r="N56" s="152" t="s">
        <v>40</v>
      </c>
      <c r="O56" s="152" t="s">
        <v>41</v>
      </c>
      <c r="P56" s="153" t="s">
        <v>160</v>
      </c>
      <c r="Q56" s="155">
        <v>90000000</v>
      </c>
      <c r="R56" s="155">
        <v>0</v>
      </c>
      <c r="S56" s="155">
        <v>0</v>
      </c>
      <c r="T56" s="155">
        <v>90000000</v>
      </c>
      <c r="U56" s="155">
        <v>0</v>
      </c>
      <c r="V56" s="155">
        <v>90000000</v>
      </c>
      <c r="W56" s="155">
        <v>0</v>
      </c>
      <c r="X56" s="155">
        <v>10365194</v>
      </c>
      <c r="Y56" s="155">
        <v>10365194</v>
      </c>
      <c r="Z56" s="155">
        <v>10365194</v>
      </c>
      <c r="AA56" s="155">
        <v>10365194</v>
      </c>
      <c r="AB56" s="155">
        <f t="shared" si="0"/>
        <v>79634806</v>
      </c>
    </row>
    <row r="57" spans="1:28" x14ac:dyDescent="0.3">
      <c r="A57" s="152" t="s">
        <v>33</v>
      </c>
      <c r="B57" s="153" t="s">
        <v>34</v>
      </c>
      <c r="C57" s="154" t="s">
        <v>161</v>
      </c>
      <c r="D57" s="152" t="s">
        <v>36</v>
      </c>
      <c r="E57" s="152" t="s">
        <v>77</v>
      </c>
      <c r="F57" s="152" t="s">
        <v>158</v>
      </c>
      <c r="G57" s="152" t="s">
        <v>59</v>
      </c>
      <c r="H57" s="152" t="s">
        <v>159</v>
      </c>
      <c r="I57" s="152" t="s">
        <v>62</v>
      </c>
      <c r="J57" s="152"/>
      <c r="K57" s="152"/>
      <c r="L57" s="152"/>
      <c r="M57" s="152" t="s">
        <v>39</v>
      </c>
      <c r="N57" s="152" t="s">
        <v>40</v>
      </c>
      <c r="O57" s="152" t="s">
        <v>41</v>
      </c>
      <c r="P57" s="153" t="s">
        <v>162</v>
      </c>
      <c r="Q57" s="155">
        <v>190000000</v>
      </c>
      <c r="R57" s="155">
        <v>0</v>
      </c>
      <c r="S57" s="155">
        <v>0</v>
      </c>
      <c r="T57" s="155">
        <v>190000000</v>
      </c>
      <c r="U57" s="155">
        <v>0</v>
      </c>
      <c r="V57" s="155">
        <v>190000000</v>
      </c>
      <c r="W57" s="155">
        <v>0</v>
      </c>
      <c r="X57" s="155">
        <v>17576437</v>
      </c>
      <c r="Y57" s="155">
        <v>17576437</v>
      </c>
      <c r="Z57" s="155">
        <v>17576437</v>
      </c>
      <c r="AA57" s="155">
        <v>17576437</v>
      </c>
      <c r="AB57" s="155">
        <f t="shared" si="0"/>
        <v>172423563</v>
      </c>
    </row>
    <row r="58" spans="1:28" x14ac:dyDescent="0.3">
      <c r="A58" s="152" t="s">
        <v>33</v>
      </c>
      <c r="B58" s="153" t="s">
        <v>34</v>
      </c>
      <c r="C58" s="154" t="s">
        <v>163</v>
      </c>
      <c r="D58" s="152" t="s">
        <v>36</v>
      </c>
      <c r="E58" s="152" t="s">
        <v>77</v>
      </c>
      <c r="F58" s="152" t="s">
        <v>40</v>
      </c>
      <c r="G58" s="152" t="s">
        <v>59</v>
      </c>
      <c r="H58" s="152" t="s">
        <v>38</v>
      </c>
      <c r="I58" s="152"/>
      <c r="J58" s="152"/>
      <c r="K58" s="152"/>
      <c r="L58" s="152"/>
      <c r="M58" s="152" t="s">
        <v>39</v>
      </c>
      <c r="N58" s="152" t="s">
        <v>40</v>
      </c>
      <c r="O58" s="152" t="s">
        <v>41</v>
      </c>
      <c r="P58" s="153" t="s">
        <v>164</v>
      </c>
      <c r="Q58" s="155">
        <v>117000000</v>
      </c>
      <c r="R58" s="155">
        <v>0</v>
      </c>
      <c r="S58" s="155">
        <v>0</v>
      </c>
      <c r="T58" s="155">
        <v>117000000</v>
      </c>
      <c r="U58" s="155">
        <v>0</v>
      </c>
      <c r="V58" s="155">
        <v>0</v>
      </c>
      <c r="W58" s="155">
        <v>117000000</v>
      </c>
      <c r="X58" s="155">
        <v>0</v>
      </c>
      <c r="Y58" s="155">
        <v>0</v>
      </c>
      <c r="Z58" s="155">
        <v>0</v>
      </c>
      <c r="AA58" s="155">
        <v>0</v>
      </c>
      <c r="AB58" s="155">
        <f t="shared" si="0"/>
        <v>0</v>
      </c>
    </row>
    <row r="59" spans="1:28" x14ac:dyDescent="0.3">
      <c r="A59" s="152" t="s">
        <v>33</v>
      </c>
      <c r="B59" s="153" t="s">
        <v>34</v>
      </c>
      <c r="C59" s="154" t="s">
        <v>165</v>
      </c>
      <c r="D59" s="152" t="s">
        <v>166</v>
      </c>
      <c r="E59" s="152" t="s">
        <v>167</v>
      </c>
      <c r="F59" s="152" t="s">
        <v>168</v>
      </c>
      <c r="G59" s="152" t="s">
        <v>169</v>
      </c>
      <c r="H59" s="152" t="s">
        <v>170</v>
      </c>
      <c r="I59" s="152" t="s">
        <v>171</v>
      </c>
      <c r="J59" s="152" t="s">
        <v>172</v>
      </c>
      <c r="K59" s="152" t="s">
        <v>1</v>
      </c>
      <c r="L59" s="152" t="s">
        <v>1</v>
      </c>
      <c r="M59" s="152" t="s">
        <v>39</v>
      </c>
      <c r="N59" s="152" t="s">
        <v>40</v>
      </c>
      <c r="O59" s="152" t="s">
        <v>41</v>
      </c>
      <c r="P59" s="153" t="s">
        <v>173</v>
      </c>
      <c r="Q59" s="155">
        <v>2363440219</v>
      </c>
      <c r="R59" s="155">
        <v>1066159781</v>
      </c>
      <c r="S59" s="155">
        <v>0</v>
      </c>
      <c r="T59" s="155">
        <v>3429600000</v>
      </c>
      <c r="U59" s="155">
        <v>0</v>
      </c>
      <c r="V59" s="155">
        <v>2918944000</v>
      </c>
      <c r="W59" s="155">
        <v>510656000</v>
      </c>
      <c r="X59" s="155">
        <v>1019000000</v>
      </c>
      <c r="Y59" s="155">
        <v>0</v>
      </c>
      <c r="Z59" s="155">
        <v>0</v>
      </c>
      <c r="AA59" s="155">
        <v>0</v>
      </c>
      <c r="AB59" s="155">
        <f t="shared" si="0"/>
        <v>1899944000</v>
      </c>
    </row>
    <row r="60" spans="1:28" x14ac:dyDescent="0.3">
      <c r="A60" s="152" t="s">
        <v>33</v>
      </c>
      <c r="B60" s="153" t="s">
        <v>34</v>
      </c>
      <c r="C60" s="154" t="s">
        <v>174</v>
      </c>
      <c r="D60" s="152" t="s">
        <v>166</v>
      </c>
      <c r="E60" s="152" t="s">
        <v>167</v>
      </c>
      <c r="F60" s="152" t="s">
        <v>168</v>
      </c>
      <c r="G60" s="152" t="s">
        <v>169</v>
      </c>
      <c r="H60" s="152" t="s">
        <v>170</v>
      </c>
      <c r="I60" s="152" t="s">
        <v>175</v>
      </c>
      <c r="J60" s="152" t="s">
        <v>172</v>
      </c>
      <c r="K60" s="152" t="s">
        <v>1</v>
      </c>
      <c r="L60" s="152" t="s">
        <v>1</v>
      </c>
      <c r="M60" s="152" t="s">
        <v>39</v>
      </c>
      <c r="N60" s="152" t="s">
        <v>40</v>
      </c>
      <c r="O60" s="152" t="s">
        <v>41</v>
      </c>
      <c r="P60" s="153" t="s">
        <v>173</v>
      </c>
      <c r="Q60" s="155">
        <v>1182000000</v>
      </c>
      <c r="R60" s="155">
        <v>0</v>
      </c>
      <c r="S60" s="155">
        <v>1182000000</v>
      </c>
      <c r="T60" s="155">
        <v>0</v>
      </c>
      <c r="U60" s="155">
        <v>0</v>
      </c>
      <c r="V60" s="155">
        <v>0</v>
      </c>
      <c r="W60" s="155">
        <v>0</v>
      </c>
      <c r="X60" s="155">
        <v>0</v>
      </c>
      <c r="Y60" s="155">
        <v>0</v>
      </c>
      <c r="Z60" s="155">
        <v>0</v>
      </c>
      <c r="AA60" s="155">
        <v>0</v>
      </c>
      <c r="AB60" s="155">
        <f t="shared" si="0"/>
        <v>0</v>
      </c>
    </row>
    <row r="61" spans="1:28" x14ac:dyDescent="0.3">
      <c r="A61" s="152" t="s">
        <v>33</v>
      </c>
      <c r="B61" s="153" t="s">
        <v>34</v>
      </c>
      <c r="C61" s="154" t="s">
        <v>176</v>
      </c>
      <c r="D61" s="152" t="s">
        <v>166</v>
      </c>
      <c r="E61" s="152" t="s">
        <v>167</v>
      </c>
      <c r="F61" s="152" t="s">
        <v>168</v>
      </c>
      <c r="G61" s="152" t="s">
        <v>169</v>
      </c>
      <c r="H61" s="152" t="s">
        <v>170</v>
      </c>
      <c r="I61" s="152" t="s">
        <v>177</v>
      </c>
      <c r="J61" s="152" t="s">
        <v>178</v>
      </c>
      <c r="K61" s="152" t="s">
        <v>1</v>
      </c>
      <c r="L61" s="152" t="s">
        <v>1</v>
      </c>
      <c r="M61" s="152" t="s">
        <v>39</v>
      </c>
      <c r="N61" s="152" t="s">
        <v>40</v>
      </c>
      <c r="O61" s="152" t="s">
        <v>41</v>
      </c>
      <c r="P61" s="153" t="s">
        <v>179</v>
      </c>
      <c r="Q61" s="155">
        <v>2413536191</v>
      </c>
      <c r="R61" s="155">
        <v>115840219</v>
      </c>
      <c r="S61" s="155">
        <v>0</v>
      </c>
      <c r="T61" s="155">
        <v>2529376410</v>
      </c>
      <c r="U61" s="155">
        <v>0</v>
      </c>
      <c r="V61" s="155">
        <v>2368964664</v>
      </c>
      <c r="W61" s="155">
        <v>160411746</v>
      </c>
      <c r="X61" s="155">
        <v>993933280</v>
      </c>
      <c r="Y61" s="155">
        <v>0</v>
      </c>
      <c r="Z61" s="155">
        <v>0</v>
      </c>
      <c r="AA61" s="155">
        <v>0</v>
      </c>
      <c r="AB61" s="155">
        <f t="shared" si="0"/>
        <v>1375031384</v>
      </c>
    </row>
    <row r="62" spans="1:28" x14ac:dyDescent="0.3">
      <c r="A62" s="152" t="s">
        <v>33</v>
      </c>
      <c r="B62" s="153" t="s">
        <v>34</v>
      </c>
      <c r="C62" s="154" t="s">
        <v>180</v>
      </c>
      <c r="D62" s="152" t="s">
        <v>166</v>
      </c>
      <c r="E62" s="152" t="s">
        <v>167</v>
      </c>
      <c r="F62" s="152" t="s">
        <v>168</v>
      </c>
      <c r="G62" s="152" t="s">
        <v>181</v>
      </c>
      <c r="H62" s="152" t="s">
        <v>170</v>
      </c>
      <c r="I62" s="152" t="s">
        <v>175</v>
      </c>
      <c r="J62" s="152" t="s">
        <v>59</v>
      </c>
      <c r="K62" s="152"/>
      <c r="L62" s="152"/>
      <c r="M62" s="152" t="s">
        <v>39</v>
      </c>
      <c r="N62" s="152" t="s">
        <v>182</v>
      </c>
      <c r="O62" s="152" t="s">
        <v>41</v>
      </c>
      <c r="P62" s="153" t="s">
        <v>183</v>
      </c>
      <c r="Q62" s="155">
        <v>4267568590</v>
      </c>
      <c r="R62" s="155">
        <v>0</v>
      </c>
      <c r="S62" s="155">
        <v>0</v>
      </c>
      <c r="T62" s="155">
        <v>4267568590</v>
      </c>
      <c r="U62" s="155">
        <v>0</v>
      </c>
      <c r="V62" s="155">
        <v>0</v>
      </c>
      <c r="W62" s="155">
        <v>4267568590</v>
      </c>
      <c r="X62" s="155">
        <v>0</v>
      </c>
      <c r="Y62" s="155">
        <v>0</v>
      </c>
      <c r="Z62" s="155">
        <v>0</v>
      </c>
      <c r="AA62" s="155">
        <v>0</v>
      </c>
      <c r="AB62" s="155">
        <f t="shared" si="0"/>
        <v>0</v>
      </c>
    </row>
    <row r="63" spans="1:28" x14ac:dyDescent="0.3">
      <c r="A63" s="152" t="s">
        <v>33</v>
      </c>
      <c r="B63" s="153" t="s">
        <v>34</v>
      </c>
      <c r="C63" s="154" t="s">
        <v>184</v>
      </c>
      <c r="D63" s="152" t="s">
        <v>166</v>
      </c>
      <c r="E63" s="152" t="s">
        <v>167</v>
      </c>
      <c r="F63" s="152" t="s">
        <v>168</v>
      </c>
      <c r="G63" s="152" t="s">
        <v>181</v>
      </c>
      <c r="H63" s="152" t="s">
        <v>170</v>
      </c>
      <c r="I63" s="152" t="s">
        <v>185</v>
      </c>
      <c r="J63" s="152" t="s">
        <v>59</v>
      </c>
      <c r="K63" s="152"/>
      <c r="L63" s="152"/>
      <c r="M63" s="152" t="s">
        <v>39</v>
      </c>
      <c r="N63" s="152" t="s">
        <v>182</v>
      </c>
      <c r="O63" s="152" t="s">
        <v>41</v>
      </c>
      <c r="P63" s="153" t="s">
        <v>186</v>
      </c>
      <c r="Q63" s="155">
        <v>5070000000</v>
      </c>
      <c r="R63" s="155">
        <v>0</v>
      </c>
      <c r="S63" s="155">
        <v>0</v>
      </c>
      <c r="T63" s="155">
        <v>5070000000</v>
      </c>
      <c r="U63" s="155">
        <v>0</v>
      </c>
      <c r="V63" s="155">
        <v>0</v>
      </c>
      <c r="W63" s="155">
        <v>5070000000</v>
      </c>
      <c r="X63" s="155">
        <v>0</v>
      </c>
      <c r="Y63" s="155">
        <v>0</v>
      </c>
      <c r="Z63" s="155">
        <v>0</v>
      </c>
      <c r="AA63" s="155">
        <v>0</v>
      </c>
      <c r="AB63" s="155">
        <f t="shared" si="0"/>
        <v>0</v>
      </c>
    </row>
    <row r="64" spans="1:28" x14ac:dyDescent="0.3">
      <c r="A64" s="152" t="s">
        <v>33</v>
      </c>
      <c r="B64" s="153" t="s">
        <v>34</v>
      </c>
      <c r="C64" s="154" t="s">
        <v>187</v>
      </c>
      <c r="D64" s="152" t="s">
        <v>166</v>
      </c>
      <c r="E64" s="152" t="s">
        <v>167</v>
      </c>
      <c r="F64" s="152" t="s">
        <v>168</v>
      </c>
      <c r="G64" s="152" t="s">
        <v>181</v>
      </c>
      <c r="H64" s="152" t="s">
        <v>170</v>
      </c>
      <c r="I64" s="152" t="s">
        <v>188</v>
      </c>
      <c r="J64" s="152" t="s">
        <v>59</v>
      </c>
      <c r="K64" s="152"/>
      <c r="L64" s="152"/>
      <c r="M64" s="152" t="s">
        <v>39</v>
      </c>
      <c r="N64" s="152" t="s">
        <v>182</v>
      </c>
      <c r="O64" s="152" t="s">
        <v>41</v>
      </c>
      <c r="P64" s="153" t="s">
        <v>189</v>
      </c>
      <c r="Q64" s="155">
        <v>6969782000</v>
      </c>
      <c r="R64" s="155">
        <v>0</v>
      </c>
      <c r="S64" s="155">
        <v>0</v>
      </c>
      <c r="T64" s="155">
        <v>6969782000</v>
      </c>
      <c r="U64" s="155">
        <v>0</v>
      </c>
      <c r="V64" s="155">
        <v>0</v>
      </c>
      <c r="W64" s="155">
        <v>6969782000</v>
      </c>
      <c r="X64" s="155">
        <v>0</v>
      </c>
      <c r="Y64" s="155">
        <v>0</v>
      </c>
      <c r="Z64" s="155">
        <v>0</v>
      </c>
      <c r="AA64" s="155">
        <v>0</v>
      </c>
      <c r="AB64" s="155">
        <f t="shared" si="0"/>
        <v>0</v>
      </c>
    </row>
    <row r="65" spans="1:28" x14ac:dyDescent="0.3">
      <c r="A65" s="152" t="s">
        <v>1</v>
      </c>
      <c r="B65" s="153" t="s">
        <v>1</v>
      </c>
      <c r="C65" s="154" t="s">
        <v>1</v>
      </c>
      <c r="D65" s="152" t="s">
        <v>1</v>
      </c>
      <c r="E65" s="152" t="s">
        <v>1</v>
      </c>
      <c r="F65" s="152" t="s">
        <v>1</v>
      </c>
      <c r="G65" s="152" t="s">
        <v>1</v>
      </c>
      <c r="H65" s="152" t="s">
        <v>1</v>
      </c>
      <c r="I65" s="152" t="s">
        <v>1</v>
      </c>
      <c r="J65" s="152" t="s">
        <v>1</v>
      </c>
      <c r="K65" s="152" t="s">
        <v>1</v>
      </c>
      <c r="L65" s="152" t="s">
        <v>1</v>
      </c>
      <c r="M65" s="152" t="s">
        <v>1</v>
      </c>
      <c r="N65" s="152" t="s">
        <v>1</v>
      </c>
      <c r="O65" s="152" t="s">
        <v>1</v>
      </c>
      <c r="P65" s="153" t="s">
        <v>1</v>
      </c>
      <c r="Q65" s="155">
        <v>99697250855</v>
      </c>
      <c r="R65" s="155">
        <v>161651061797</v>
      </c>
      <c r="S65" s="155">
        <v>5852900247</v>
      </c>
      <c r="T65" s="155">
        <v>255495412405</v>
      </c>
      <c r="U65" s="155">
        <v>0</v>
      </c>
      <c r="V65" s="155">
        <v>172194250961.34</v>
      </c>
      <c r="W65" s="155">
        <v>83301161443.660004</v>
      </c>
      <c r="X65" s="155">
        <v>105379004124.92999</v>
      </c>
      <c r="Y65" s="155">
        <v>4160804527.5</v>
      </c>
      <c r="Z65" s="155">
        <v>4160804527.5</v>
      </c>
      <c r="AA65" s="155">
        <v>4160804527.5</v>
      </c>
      <c r="AB65" s="155">
        <f t="shared" si="0"/>
        <v>66815246836.410004</v>
      </c>
    </row>
    <row r="66" spans="1:28" x14ac:dyDescent="0.3">
      <c r="A66" s="152" t="s">
        <v>1</v>
      </c>
      <c r="B66" s="157" t="s">
        <v>1</v>
      </c>
      <c r="C66" s="154" t="s">
        <v>1</v>
      </c>
      <c r="D66" s="152" t="s">
        <v>1</v>
      </c>
      <c r="E66" s="152" t="s">
        <v>1</v>
      </c>
      <c r="F66" s="152" t="s">
        <v>1</v>
      </c>
      <c r="G66" s="152" t="s">
        <v>1</v>
      </c>
      <c r="H66" s="152" t="s">
        <v>1</v>
      </c>
      <c r="I66" s="152" t="s">
        <v>1</v>
      </c>
      <c r="J66" s="152" t="s">
        <v>1</v>
      </c>
      <c r="K66" s="152" t="s">
        <v>1</v>
      </c>
      <c r="L66" s="152" t="s">
        <v>1</v>
      </c>
      <c r="M66" s="152" t="s">
        <v>1</v>
      </c>
      <c r="N66" s="152" t="s">
        <v>1</v>
      </c>
      <c r="O66" s="152" t="s">
        <v>1</v>
      </c>
      <c r="P66" s="153" t="s">
        <v>1</v>
      </c>
      <c r="Q66" s="158" t="s">
        <v>1</v>
      </c>
      <c r="R66" s="158" t="s">
        <v>1</v>
      </c>
      <c r="S66" s="158" t="s">
        <v>1</v>
      </c>
      <c r="T66" s="158" t="s">
        <v>1</v>
      </c>
      <c r="U66" s="158" t="s">
        <v>1</v>
      </c>
      <c r="V66" s="158" t="s">
        <v>1</v>
      </c>
      <c r="W66" s="158" t="s">
        <v>1</v>
      </c>
      <c r="X66" s="158" t="s">
        <v>1</v>
      </c>
      <c r="Y66" s="158" t="s">
        <v>1</v>
      </c>
      <c r="Z66" s="158" t="s">
        <v>1</v>
      </c>
      <c r="AA66" s="158" t="s">
        <v>1</v>
      </c>
      <c r="AB66" s="155"/>
    </row>
    <row r="67" spans="1:28" ht="34.200000000000003" customHeight="1" x14ac:dyDescent="0.3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CDD5-D1FE-4247-B5F1-201B9C824883}">
  <dimension ref="A1:AB21"/>
  <sheetViews>
    <sheetView topLeftCell="O1" workbookViewId="0">
      <selection activeCell="R35" sqref="R35"/>
    </sheetView>
  </sheetViews>
  <sheetFormatPr baseColWidth="10" defaultColWidth="11.5546875" defaultRowHeight="14.4" x14ac:dyDescent="0.3"/>
  <cols>
    <col min="1" max="1" width="13.44140625" style="151" customWidth="1"/>
    <col min="2" max="2" width="26.88671875" style="151" customWidth="1"/>
    <col min="3" max="3" width="21.5546875" style="151" customWidth="1"/>
    <col min="4" max="11" width="5.44140625" style="151" customWidth="1"/>
    <col min="12" max="12" width="7" style="151" customWidth="1"/>
    <col min="13" max="13" width="9.6640625" style="151" customWidth="1"/>
    <col min="14" max="14" width="8.109375" style="151" customWidth="1"/>
    <col min="15" max="15" width="9.6640625" style="151" customWidth="1"/>
    <col min="16" max="16" width="27.6640625" style="151" customWidth="1"/>
    <col min="17" max="27" width="18.88671875" style="151" customWidth="1"/>
    <col min="28" max="28" width="17.88671875" style="151" customWidth="1"/>
    <col min="29" max="29" width="6.44140625" style="151" customWidth="1"/>
    <col min="30" max="16384" width="11.5546875" style="151"/>
  </cols>
  <sheetData>
    <row r="1" spans="1:28" x14ac:dyDescent="0.3">
      <c r="A1" s="149" t="s">
        <v>0</v>
      </c>
      <c r="B1" s="149">
        <v>2026</v>
      </c>
      <c r="C1" s="150" t="s">
        <v>1</v>
      </c>
      <c r="D1" s="150" t="s">
        <v>1</v>
      </c>
      <c r="E1" s="150" t="s">
        <v>1</v>
      </c>
      <c r="F1" s="150" t="s">
        <v>1</v>
      </c>
      <c r="G1" s="150" t="s">
        <v>1</v>
      </c>
      <c r="H1" s="150" t="s">
        <v>1</v>
      </c>
      <c r="I1" s="150" t="s">
        <v>1</v>
      </c>
      <c r="J1" s="150" t="s">
        <v>1</v>
      </c>
      <c r="K1" s="150" t="s">
        <v>1</v>
      </c>
      <c r="L1" s="150" t="s">
        <v>1</v>
      </c>
      <c r="M1" s="150" t="s">
        <v>1</v>
      </c>
      <c r="N1" s="150" t="s">
        <v>1</v>
      </c>
      <c r="O1" s="150" t="s">
        <v>1</v>
      </c>
      <c r="P1" s="150" t="s">
        <v>1</v>
      </c>
      <c r="Q1" s="150" t="s">
        <v>1</v>
      </c>
      <c r="R1" s="150" t="s">
        <v>1</v>
      </c>
      <c r="S1" s="150" t="s">
        <v>1</v>
      </c>
      <c r="T1" s="150" t="s">
        <v>1</v>
      </c>
      <c r="U1" s="150" t="s">
        <v>1</v>
      </c>
      <c r="V1" s="150" t="s">
        <v>1</v>
      </c>
      <c r="W1" s="150" t="s">
        <v>1</v>
      </c>
      <c r="X1" s="150" t="s">
        <v>1</v>
      </c>
      <c r="Y1" s="150" t="s">
        <v>1</v>
      </c>
      <c r="Z1" s="150" t="s">
        <v>1</v>
      </c>
      <c r="AA1" s="150" t="s">
        <v>1</v>
      </c>
    </row>
    <row r="2" spans="1:28" x14ac:dyDescent="0.3">
      <c r="A2" s="149" t="s">
        <v>2</v>
      </c>
      <c r="B2" s="149" t="s">
        <v>3</v>
      </c>
      <c r="C2" s="150" t="s">
        <v>1</v>
      </c>
      <c r="D2" s="150" t="s">
        <v>1</v>
      </c>
      <c r="E2" s="150" t="s">
        <v>1</v>
      </c>
      <c r="F2" s="150" t="s">
        <v>1</v>
      </c>
      <c r="G2" s="150" t="s">
        <v>1</v>
      </c>
      <c r="H2" s="150" t="s">
        <v>1</v>
      </c>
      <c r="I2" s="150" t="s">
        <v>1</v>
      </c>
      <c r="J2" s="150" t="s">
        <v>1</v>
      </c>
      <c r="K2" s="150" t="s">
        <v>1</v>
      </c>
      <c r="L2" s="150" t="s">
        <v>1</v>
      </c>
      <c r="M2" s="150" t="s">
        <v>1</v>
      </c>
      <c r="N2" s="150" t="s">
        <v>1</v>
      </c>
      <c r="O2" s="150" t="s">
        <v>1</v>
      </c>
      <c r="P2" s="150" t="s">
        <v>1</v>
      </c>
      <c r="Q2" s="150" t="s">
        <v>1</v>
      </c>
      <c r="R2" s="150" t="s">
        <v>1</v>
      </c>
      <c r="S2" s="150" t="s">
        <v>1</v>
      </c>
      <c r="T2" s="150" t="s">
        <v>1</v>
      </c>
      <c r="U2" s="150" t="s">
        <v>1</v>
      </c>
      <c r="V2" s="150" t="s">
        <v>1</v>
      </c>
      <c r="W2" s="150" t="s">
        <v>1</v>
      </c>
      <c r="X2" s="150" t="s">
        <v>1</v>
      </c>
      <c r="Y2" s="150" t="s">
        <v>1</v>
      </c>
      <c r="Z2" s="150" t="s">
        <v>1</v>
      </c>
      <c r="AA2" s="150" t="s">
        <v>1</v>
      </c>
    </row>
    <row r="3" spans="1:28" x14ac:dyDescent="0.3">
      <c r="A3" s="149" t="s">
        <v>4</v>
      </c>
      <c r="B3" s="149" t="s">
        <v>5</v>
      </c>
      <c r="C3" s="150" t="s">
        <v>1</v>
      </c>
      <c r="D3" s="150" t="s">
        <v>1</v>
      </c>
      <c r="E3" s="150" t="s">
        <v>1</v>
      </c>
      <c r="F3" s="150" t="s">
        <v>1</v>
      </c>
      <c r="G3" s="150" t="s">
        <v>1</v>
      </c>
      <c r="H3" s="150" t="s">
        <v>1</v>
      </c>
      <c r="I3" s="150" t="s">
        <v>1</v>
      </c>
      <c r="J3" s="150" t="s">
        <v>1</v>
      </c>
      <c r="K3" s="150" t="s">
        <v>1</v>
      </c>
      <c r="L3" s="150" t="s">
        <v>1</v>
      </c>
      <c r="M3" s="150" t="s">
        <v>1</v>
      </c>
      <c r="N3" s="150" t="s">
        <v>1</v>
      </c>
      <c r="O3" s="150" t="s">
        <v>1</v>
      </c>
      <c r="P3" s="150" t="s">
        <v>1</v>
      </c>
      <c r="Q3" s="150" t="s">
        <v>1</v>
      </c>
      <c r="R3" s="150" t="s">
        <v>1</v>
      </c>
      <c r="S3" s="150" t="s">
        <v>1</v>
      </c>
      <c r="T3" s="150" t="s">
        <v>1</v>
      </c>
      <c r="U3" s="150" t="s">
        <v>1</v>
      </c>
      <c r="V3" s="150" t="s">
        <v>1</v>
      </c>
      <c r="W3" s="150" t="s">
        <v>1</v>
      </c>
      <c r="X3" s="150" t="s">
        <v>1</v>
      </c>
      <c r="Y3" s="150" t="s">
        <v>1</v>
      </c>
      <c r="Z3" s="150" t="s">
        <v>1</v>
      </c>
      <c r="AA3" s="150" t="s">
        <v>1</v>
      </c>
    </row>
    <row r="4" spans="1:28" x14ac:dyDescent="0.3">
      <c r="A4" s="149" t="s">
        <v>6</v>
      </c>
      <c r="B4" s="149" t="s">
        <v>7</v>
      </c>
      <c r="C4" s="149" t="s">
        <v>8</v>
      </c>
      <c r="D4" s="149" t="s">
        <v>9</v>
      </c>
      <c r="E4" s="149" t="s">
        <v>10</v>
      </c>
      <c r="F4" s="149" t="s">
        <v>11</v>
      </c>
      <c r="G4" s="149" t="s">
        <v>12</v>
      </c>
      <c r="H4" s="149" t="s">
        <v>13</v>
      </c>
      <c r="I4" s="149" t="s">
        <v>14</v>
      </c>
      <c r="J4" s="149" t="s">
        <v>15</v>
      </c>
      <c r="K4" s="149" t="s">
        <v>16</v>
      </c>
      <c r="L4" s="149" t="s">
        <v>17</v>
      </c>
      <c r="M4" s="149" t="s">
        <v>18</v>
      </c>
      <c r="N4" s="149" t="s">
        <v>19</v>
      </c>
      <c r="O4" s="149" t="s">
        <v>20</v>
      </c>
      <c r="P4" s="149" t="s">
        <v>21</v>
      </c>
      <c r="Q4" s="149" t="s">
        <v>22</v>
      </c>
      <c r="R4" s="149" t="s">
        <v>23</v>
      </c>
      <c r="S4" s="149" t="s">
        <v>24</v>
      </c>
      <c r="T4" s="149" t="s">
        <v>25</v>
      </c>
      <c r="U4" s="149" t="s">
        <v>26</v>
      </c>
      <c r="V4" s="149" t="s">
        <v>27</v>
      </c>
      <c r="W4" s="149" t="s">
        <v>28</v>
      </c>
      <c r="X4" s="149" t="s">
        <v>29</v>
      </c>
      <c r="Y4" s="149" t="s">
        <v>30</v>
      </c>
      <c r="Z4" s="149" t="s">
        <v>31</v>
      </c>
      <c r="AA4" s="149" t="s">
        <v>32</v>
      </c>
    </row>
    <row r="5" spans="1:28" x14ac:dyDescent="0.3">
      <c r="A5" s="152" t="s">
        <v>33</v>
      </c>
      <c r="B5" s="153" t="s">
        <v>34</v>
      </c>
      <c r="C5" s="154" t="s">
        <v>190</v>
      </c>
      <c r="D5" s="152" t="s">
        <v>36</v>
      </c>
      <c r="E5" s="152" t="s">
        <v>37</v>
      </c>
      <c r="F5" s="152" t="s">
        <v>37</v>
      </c>
      <c r="G5" s="152" t="s">
        <v>37</v>
      </c>
      <c r="H5" s="152"/>
      <c r="I5" s="152"/>
      <c r="J5" s="152"/>
      <c r="K5" s="152"/>
      <c r="L5" s="152"/>
      <c r="M5" s="152" t="s">
        <v>39</v>
      </c>
      <c r="N5" s="152" t="s">
        <v>40</v>
      </c>
      <c r="O5" s="152" t="s">
        <v>41</v>
      </c>
      <c r="P5" s="153" t="s">
        <v>191</v>
      </c>
      <c r="Q5" s="155">
        <v>42805564000</v>
      </c>
      <c r="R5" s="155">
        <v>0</v>
      </c>
      <c r="S5" s="155">
        <v>0</v>
      </c>
      <c r="T5" s="155">
        <v>42805564000</v>
      </c>
      <c r="U5" s="155">
        <v>0</v>
      </c>
      <c r="V5" s="155">
        <v>42805564000</v>
      </c>
      <c r="W5" s="155">
        <v>0</v>
      </c>
      <c r="X5" s="155">
        <v>2869114391</v>
      </c>
      <c r="Y5" s="155">
        <v>2836123758</v>
      </c>
      <c r="Z5" s="155">
        <v>2836123758</v>
      </c>
      <c r="AA5" s="155">
        <v>2836123758</v>
      </c>
      <c r="AB5" s="155">
        <f>+V5-X5</f>
        <v>39936449609</v>
      </c>
    </row>
    <row r="6" spans="1:28" x14ac:dyDescent="0.3">
      <c r="A6" s="152" t="s">
        <v>33</v>
      </c>
      <c r="B6" s="153" t="s">
        <v>34</v>
      </c>
      <c r="C6" s="154" t="s">
        <v>192</v>
      </c>
      <c r="D6" s="152" t="s">
        <v>36</v>
      </c>
      <c r="E6" s="152" t="s">
        <v>37</v>
      </c>
      <c r="F6" s="152" t="s">
        <v>37</v>
      </c>
      <c r="G6" s="152" t="s">
        <v>59</v>
      </c>
      <c r="H6" s="152"/>
      <c r="I6" s="152"/>
      <c r="J6" s="152"/>
      <c r="K6" s="152"/>
      <c r="L6" s="152"/>
      <c r="M6" s="152" t="s">
        <v>39</v>
      </c>
      <c r="N6" s="152" t="s">
        <v>40</v>
      </c>
      <c r="O6" s="152" t="s">
        <v>41</v>
      </c>
      <c r="P6" s="153" t="s">
        <v>193</v>
      </c>
      <c r="Q6" s="155">
        <v>14894614000</v>
      </c>
      <c r="R6" s="155">
        <v>0</v>
      </c>
      <c r="S6" s="155">
        <v>0</v>
      </c>
      <c r="T6" s="155">
        <v>14894614000</v>
      </c>
      <c r="U6" s="155">
        <v>0</v>
      </c>
      <c r="V6" s="155">
        <v>14894614000</v>
      </c>
      <c r="W6" s="155">
        <v>0</v>
      </c>
      <c r="X6" s="155">
        <v>1213760767</v>
      </c>
      <c r="Y6" s="155">
        <v>1107077962</v>
      </c>
      <c r="Z6" s="155">
        <v>1107077962</v>
      </c>
      <c r="AA6" s="155">
        <v>1107077962</v>
      </c>
      <c r="AB6" s="155">
        <f t="shared" ref="AB6:AB15" si="0">+V6-X6</f>
        <v>13680853233</v>
      </c>
    </row>
    <row r="7" spans="1:28" x14ac:dyDescent="0.3">
      <c r="A7" s="152" t="s">
        <v>33</v>
      </c>
      <c r="B7" s="153" t="s">
        <v>34</v>
      </c>
      <c r="C7" s="154" t="s">
        <v>194</v>
      </c>
      <c r="D7" s="152" t="s">
        <v>36</v>
      </c>
      <c r="E7" s="152" t="s">
        <v>37</v>
      </c>
      <c r="F7" s="152" t="s">
        <v>37</v>
      </c>
      <c r="G7" s="152" t="s">
        <v>77</v>
      </c>
      <c r="H7" s="152"/>
      <c r="I7" s="152"/>
      <c r="J7" s="152"/>
      <c r="K7" s="152"/>
      <c r="L7" s="152"/>
      <c r="M7" s="152" t="s">
        <v>39</v>
      </c>
      <c r="N7" s="152" t="s">
        <v>40</v>
      </c>
      <c r="O7" s="152" t="s">
        <v>41</v>
      </c>
      <c r="P7" s="153" t="s">
        <v>195</v>
      </c>
      <c r="Q7" s="155">
        <v>4773698000</v>
      </c>
      <c r="R7" s="155">
        <v>0</v>
      </c>
      <c r="S7" s="155">
        <v>0</v>
      </c>
      <c r="T7" s="155">
        <v>4773698000</v>
      </c>
      <c r="U7" s="155">
        <v>0</v>
      </c>
      <c r="V7" s="155">
        <v>4773698000</v>
      </c>
      <c r="W7" s="155">
        <v>0</v>
      </c>
      <c r="X7" s="155">
        <v>146037471</v>
      </c>
      <c r="Y7" s="155">
        <v>128335828</v>
      </c>
      <c r="Z7" s="155">
        <v>128335828</v>
      </c>
      <c r="AA7" s="155">
        <v>128335828</v>
      </c>
      <c r="AB7" s="155">
        <f t="shared" si="0"/>
        <v>4627660529</v>
      </c>
    </row>
    <row r="8" spans="1:28" x14ac:dyDescent="0.3">
      <c r="A8" s="152" t="s">
        <v>33</v>
      </c>
      <c r="B8" s="153" t="s">
        <v>34</v>
      </c>
      <c r="C8" s="154" t="s">
        <v>196</v>
      </c>
      <c r="D8" s="152" t="s">
        <v>36</v>
      </c>
      <c r="E8" s="152" t="s">
        <v>59</v>
      </c>
      <c r="F8" s="152"/>
      <c r="G8" s="152"/>
      <c r="H8" s="152"/>
      <c r="I8" s="152"/>
      <c r="J8" s="152"/>
      <c r="K8" s="152"/>
      <c r="L8" s="152"/>
      <c r="M8" s="152" t="s">
        <v>39</v>
      </c>
      <c r="N8" s="152" t="s">
        <v>40</v>
      </c>
      <c r="O8" s="152" t="s">
        <v>41</v>
      </c>
      <c r="P8" s="153" t="s">
        <v>197</v>
      </c>
      <c r="Q8" s="155">
        <v>21489143823</v>
      </c>
      <c r="R8" s="155">
        <v>148869065582</v>
      </c>
      <c r="S8" s="155">
        <v>0</v>
      </c>
      <c r="T8" s="155">
        <v>170358209405</v>
      </c>
      <c r="U8" s="155">
        <v>0</v>
      </c>
      <c r="V8" s="155">
        <v>104152466297.34</v>
      </c>
      <c r="W8" s="155">
        <v>66205743107.660004</v>
      </c>
      <c r="X8" s="155">
        <v>99109216584.929993</v>
      </c>
      <c r="Y8" s="155">
        <v>61325348.5</v>
      </c>
      <c r="Z8" s="155">
        <v>61325348.5</v>
      </c>
      <c r="AA8" s="155">
        <v>61325348.5</v>
      </c>
      <c r="AB8" s="155">
        <f t="shared" si="0"/>
        <v>5043249712.4100037</v>
      </c>
    </row>
    <row r="9" spans="1:28" x14ac:dyDescent="0.3">
      <c r="A9" s="152" t="s">
        <v>33</v>
      </c>
      <c r="B9" s="153" t="s">
        <v>34</v>
      </c>
      <c r="C9" s="154" t="s">
        <v>198</v>
      </c>
      <c r="D9" s="152" t="s">
        <v>36</v>
      </c>
      <c r="E9" s="152" t="s">
        <v>77</v>
      </c>
      <c r="F9" s="152" t="s">
        <v>77</v>
      </c>
      <c r="G9" s="152" t="s">
        <v>37</v>
      </c>
      <c r="H9" s="152" t="s">
        <v>199</v>
      </c>
      <c r="I9" s="152"/>
      <c r="J9" s="152"/>
      <c r="K9" s="152"/>
      <c r="L9" s="152"/>
      <c r="M9" s="152" t="s">
        <v>39</v>
      </c>
      <c r="N9" s="152" t="s">
        <v>40</v>
      </c>
      <c r="O9" s="152" t="s">
        <v>41</v>
      </c>
      <c r="P9" s="153" t="s">
        <v>200</v>
      </c>
      <c r="Q9" s="155">
        <v>2181124000</v>
      </c>
      <c r="R9" s="155">
        <v>0</v>
      </c>
      <c r="S9" s="155">
        <v>0</v>
      </c>
      <c r="T9" s="155">
        <v>2181124000</v>
      </c>
      <c r="U9" s="155">
        <v>0</v>
      </c>
      <c r="V9" s="155">
        <v>2101124000</v>
      </c>
      <c r="W9" s="155">
        <v>80000000</v>
      </c>
      <c r="X9" s="155">
        <v>2064842664</v>
      </c>
      <c r="Y9" s="155">
        <v>10146938</v>
      </c>
      <c r="Z9" s="155">
        <v>10146938</v>
      </c>
      <c r="AA9" s="155">
        <v>10146938</v>
      </c>
      <c r="AB9" s="155">
        <f t="shared" si="0"/>
        <v>36281336</v>
      </c>
    </row>
    <row r="10" spans="1:28" x14ac:dyDescent="0.3">
      <c r="A10" s="152" t="s">
        <v>33</v>
      </c>
      <c r="B10" s="153" t="s">
        <v>34</v>
      </c>
      <c r="C10" s="154" t="s">
        <v>201</v>
      </c>
      <c r="D10" s="152" t="s">
        <v>36</v>
      </c>
      <c r="E10" s="152" t="s">
        <v>77</v>
      </c>
      <c r="F10" s="152" t="s">
        <v>158</v>
      </c>
      <c r="G10" s="152" t="s">
        <v>59</v>
      </c>
      <c r="H10" s="152" t="s">
        <v>159</v>
      </c>
      <c r="I10" s="152"/>
      <c r="J10" s="152"/>
      <c r="K10" s="152"/>
      <c r="L10" s="152"/>
      <c r="M10" s="152" t="s">
        <v>39</v>
      </c>
      <c r="N10" s="152" t="s">
        <v>40</v>
      </c>
      <c r="O10" s="152" t="s">
        <v>41</v>
      </c>
      <c r="P10" s="153" t="s">
        <v>202</v>
      </c>
      <c r="Q10" s="155">
        <v>280000000</v>
      </c>
      <c r="R10" s="155">
        <v>0</v>
      </c>
      <c r="S10" s="155">
        <v>0</v>
      </c>
      <c r="T10" s="155">
        <v>280000000</v>
      </c>
      <c r="U10" s="155">
        <v>0</v>
      </c>
      <c r="V10" s="155">
        <v>280000000</v>
      </c>
      <c r="W10" s="155">
        <v>0</v>
      </c>
      <c r="X10" s="155">
        <v>27941631</v>
      </c>
      <c r="Y10" s="155">
        <v>27941631</v>
      </c>
      <c r="Z10" s="155">
        <v>27941631</v>
      </c>
      <c r="AA10" s="155">
        <v>27941631</v>
      </c>
      <c r="AB10" s="155">
        <f t="shared" si="0"/>
        <v>252058369</v>
      </c>
    </row>
    <row r="11" spans="1:28" x14ac:dyDescent="0.3">
      <c r="A11" s="152" t="s">
        <v>33</v>
      </c>
      <c r="B11" s="153" t="s">
        <v>34</v>
      </c>
      <c r="C11" s="154" t="s">
        <v>203</v>
      </c>
      <c r="D11" s="152" t="s">
        <v>36</v>
      </c>
      <c r="E11" s="152" t="s">
        <v>77</v>
      </c>
      <c r="F11" s="152" t="s">
        <v>40</v>
      </c>
      <c r="G11" s="152"/>
      <c r="H11" s="152"/>
      <c r="I11" s="152"/>
      <c r="J11" s="152"/>
      <c r="K11" s="152"/>
      <c r="L11" s="152"/>
      <c r="M11" s="152" t="s">
        <v>39</v>
      </c>
      <c r="N11" s="152" t="s">
        <v>40</v>
      </c>
      <c r="O11" s="152" t="s">
        <v>41</v>
      </c>
      <c r="P11" s="153" t="s">
        <v>204</v>
      </c>
      <c r="Q11" s="155">
        <v>117000000</v>
      </c>
      <c r="R11" s="155">
        <v>0</v>
      </c>
      <c r="S11" s="155">
        <v>0</v>
      </c>
      <c r="T11" s="155">
        <v>117000000</v>
      </c>
      <c r="U11" s="155">
        <v>0</v>
      </c>
      <c r="V11" s="155">
        <v>0</v>
      </c>
      <c r="W11" s="155">
        <v>117000000</v>
      </c>
      <c r="X11" s="155">
        <v>0</v>
      </c>
      <c r="Y11" s="155">
        <v>0</v>
      </c>
      <c r="Z11" s="155">
        <v>0</v>
      </c>
      <c r="AA11" s="155">
        <v>0</v>
      </c>
      <c r="AB11" s="155">
        <f t="shared" si="0"/>
        <v>0</v>
      </c>
    </row>
    <row r="12" spans="1:28" x14ac:dyDescent="0.3">
      <c r="A12" s="152" t="s">
        <v>33</v>
      </c>
      <c r="B12" s="153" t="s">
        <v>34</v>
      </c>
      <c r="C12" s="154" t="s">
        <v>205</v>
      </c>
      <c r="D12" s="152" t="s">
        <v>36</v>
      </c>
      <c r="E12" s="152" t="s">
        <v>206</v>
      </c>
      <c r="F12" s="152" t="s">
        <v>158</v>
      </c>
      <c r="G12" s="152" t="s">
        <v>37</v>
      </c>
      <c r="H12" s="152"/>
      <c r="I12" s="152"/>
      <c r="J12" s="152"/>
      <c r="K12" s="152"/>
      <c r="L12" s="152"/>
      <c r="M12" s="152" t="s">
        <v>39</v>
      </c>
      <c r="N12" s="152" t="s">
        <v>207</v>
      </c>
      <c r="O12" s="152" t="s">
        <v>208</v>
      </c>
      <c r="P12" s="153" t="s">
        <v>209</v>
      </c>
      <c r="Q12" s="155">
        <v>309000000</v>
      </c>
      <c r="R12" s="155">
        <v>0</v>
      </c>
      <c r="S12" s="155">
        <v>0</v>
      </c>
      <c r="T12" s="155">
        <v>309000000</v>
      </c>
      <c r="U12" s="155">
        <v>0</v>
      </c>
      <c r="V12" s="155">
        <v>0</v>
      </c>
      <c r="W12" s="155">
        <v>309000000</v>
      </c>
      <c r="X12" s="155">
        <v>0</v>
      </c>
      <c r="Y12" s="155">
        <v>0</v>
      </c>
      <c r="Z12" s="155">
        <v>0</v>
      </c>
      <c r="AA12" s="155">
        <v>0</v>
      </c>
      <c r="AB12" s="155">
        <f t="shared" si="0"/>
        <v>0</v>
      </c>
    </row>
    <row r="13" spans="1:28" x14ac:dyDescent="0.3">
      <c r="A13" s="152" t="s">
        <v>33</v>
      </c>
      <c r="B13" s="153" t="s">
        <v>34</v>
      </c>
      <c r="C13" s="154" t="s">
        <v>210</v>
      </c>
      <c r="D13" s="152" t="s">
        <v>166</v>
      </c>
      <c r="E13" s="152" t="s">
        <v>167</v>
      </c>
      <c r="F13" s="152" t="s">
        <v>168</v>
      </c>
      <c r="G13" s="152" t="s">
        <v>169</v>
      </c>
      <c r="H13" s="152" t="s">
        <v>170</v>
      </c>
      <c r="I13" s="152"/>
      <c r="J13" s="152"/>
      <c r="K13" s="152"/>
      <c r="L13" s="152"/>
      <c r="M13" s="152" t="s">
        <v>39</v>
      </c>
      <c r="N13" s="152" t="s">
        <v>40</v>
      </c>
      <c r="O13" s="152" t="s">
        <v>41</v>
      </c>
      <c r="P13" s="153" t="s">
        <v>211</v>
      </c>
      <c r="Q13" s="155">
        <v>5958976410</v>
      </c>
      <c r="R13" s="155">
        <v>0</v>
      </c>
      <c r="S13" s="155">
        <v>0</v>
      </c>
      <c r="T13" s="155">
        <v>5958976410</v>
      </c>
      <c r="U13" s="155">
        <v>0</v>
      </c>
      <c r="V13" s="155">
        <v>5287908664</v>
      </c>
      <c r="W13" s="155">
        <v>671067746</v>
      </c>
      <c r="X13" s="155">
        <v>2012933280</v>
      </c>
      <c r="Y13" s="155">
        <v>0</v>
      </c>
      <c r="Z13" s="155">
        <v>0</v>
      </c>
      <c r="AA13" s="155">
        <v>0</v>
      </c>
      <c r="AB13" s="155">
        <f t="shared" si="0"/>
        <v>3274975384</v>
      </c>
    </row>
    <row r="14" spans="1:28" x14ac:dyDescent="0.3">
      <c r="A14" s="152" t="s">
        <v>33</v>
      </c>
      <c r="B14" s="153" t="s">
        <v>34</v>
      </c>
      <c r="C14" s="154" t="s">
        <v>212</v>
      </c>
      <c r="D14" s="152" t="s">
        <v>166</v>
      </c>
      <c r="E14" s="152" t="s">
        <v>167</v>
      </c>
      <c r="F14" s="152" t="s">
        <v>168</v>
      </c>
      <c r="G14" s="152" t="s">
        <v>181</v>
      </c>
      <c r="H14" s="152" t="s">
        <v>170</v>
      </c>
      <c r="I14" s="152"/>
      <c r="J14" s="152"/>
      <c r="K14" s="152"/>
      <c r="L14" s="152"/>
      <c r="M14" s="152" t="s">
        <v>39</v>
      </c>
      <c r="N14" s="152" t="s">
        <v>182</v>
      </c>
      <c r="O14" s="152" t="s">
        <v>41</v>
      </c>
      <c r="P14" s="153" t="s">
        <v>211</v>
      </c>
      <c r="Q14" s="155">
        <v>16307350590</v>
      </c>
      <c r="R14" s="155">
        <v>0</v>
      </c>
      <c r="S14" s="155">
        <v>0</v>
      </c>
      <c r="T14" s="155">
        <v>16307350590</v>
      </c>
      <c r="U14" s="155">
        <v>0</v>
      </c>
      <c r="V14" s="155">
        <v>0</v>
      </c>
      <c r="W14" s="155">
        <v>16307350590</v>
      </c>
      <c r="X14" s="155">
        <v>0</v>
      </c>
      <c r="Y14" s="155">
        <v>0</v>
      </c>
      <c r="Z14" s="155">
        <v>0</v>
      </c>
      <c r="AA14" s="155">
        <v>0</v>
      </c>
      <c r="AB14" s="155">
        <f t="shared" si="0"/>
        <v>0</v>
      </c>
    </row>
    <row r="15" spans="1:28" x14ac:dyDescent="0.3">
      <c r="A15" s="152" t="s">
        <v>1</v>
      </c>
      <c r="B15" s="153" t="s">
        <v>1</v>
      </c>
      <c r="C15" s="154" t="s">
        <v>1</v>
      </c>
      <c r="D15" s="152" t="s">
        <v>1</v>
      </c>
      <c r="E15" s="152" t="s">
        <v>1</v>
      </c>
      <c r="F15" s="152" t="s">
        <v>1</v>
      </c>
      <c r="G15" s="152" t="s">
        <v>1</v>
      </c>
      <c r="H15" s="152" t="s">
        <v>1</v>
      </c>
      <c r="I15" s="152" t="s">
        <v>1</v>
      </c>
      <c r="J15" s="152" t="s">
        <v>1</v>
      </c>
      <c r="K15" s="152" t="s">
        <v>1</v>
      </c>
      <c r="L15" s="152" t="s">
        <v>1</v>
      </c>
      <c r="M15" s="152" t="s">
        <v>1</v>
      </c>
      <c r="N15" s="152" t="s">
        <v>1</v>
      </c>
      <c r="O15" s="152" t="s">
        <v>1</v>
      </c>
      <c r="P15" s="153" t="s">
        <v>1</v>
      </c>
      <c r="Q15" s="155">
        <v>109116470823</v>
      </c>
      <c r="R15" s="155">
        <v>148869065582</v>
      </c>
      <c r="S15" s="155">
        <v>0</v>
      </c>
      <c r="T15" s="155">
        <v>257985536405</v>
      </c>
      <c r="U15" s="155">
        <v>0</v>
      </c>
      <c r="V15" s="155">
        <v>174295374961.34</v>
      </c>
      <c r="W15" s="155">
        <v>83690161443.660004</v>
      </c>
      <c r="X15" s="155">
        <v>107443846788.92999</v>
      </c>
      <c r="Y15" s="155">
        <v>4170951465.5</v>
      </c>
      <c r="Z15" s="155">
        <v>4170951465.5</v>
      </c>
      <c r="AA15" s="155">
        <v>4170951465.5</v>
      </c>
      <c r="AB15" s="155">
        <f t="shared" si="0"/>
        <v>66851528172.410004</v>
      </c>
    </row>
    <row r="16" spans="1:28" x14ac:dyDescent="0.3">
      <c r="A16" s="152" t="s">
        <v>1</v>
      </c>
      <c r="B16" s="157" t="s">
        <v>1</v>
      </c>
      <c r="C16" s="154" t="s">
        <v>1</v>
      </c>
      <c r="D16" s="152" t="s">
        <v>1</v>
      </c>
      <c r="E16" s="152" t="s">
        <v>1</v>
      </c>
      <c r="F16" s="152" t="s">
        <v>1</v>
      </c>
      <c r="G16" s="152" t="s">
        <v>1</v>
      </c>
      <c r="H16" s="152" t="s">
        <v>1</v>
      </c>
      <c r="I16" s="152" t="s">
        <v>1</v>
      </c>
      <c r="J16" s="152" t="s">
        <v>1</v>
      </c>
      <c r="K16" s="152" t="s">
        <v>1</v>
      </c>
      <c r="L16" s="152" t="s">
        <v>1</v>
      </c>
      <c r="M16" s="152" t="s">
        <v>1</v>
      </c>
      <c r="N16" s="152" t="s">
        <v>1</v>
      </c>
      <c r="O16" s="152" t="s">
        <v>1</v>
      </c>
      <c r="P16" s="153" t="s">
        <v>1</v>
      </c>
      <c r="Q16" s="158" t="s">
        <v>1</v>
      </c>
      <c r="R16" s="158" t="s">
        <v>1</v>
      </c>
      <c r="S16" s="158" t="s">
        <v>1</v>
      </c>
      <c r="T16" s="158" t="s">
        <v>1</v>
      </c>
      <c r="U16" s="158" t="s">
        <v>1</v>
      </c>
      <c r="V16" s="158" t="s">
        <v>1</v>
      </c>
      <c r="W16" s="158" t="s">
        <v>1</v>
      </c>
      <c r="X16" s="158" t="s">
        <v>1</v>
      </c>
      <c r="Y16" s="158" t="s">
        <v>1</v>
      </c>
      <c r="Z16" s="158" t="s">
        <v>1</v>
      </c>
      <c r="AA16" s="158" t="s">
        <v>1</v>
      </c>
      <c r="AB16" s="156"/>
    </row>
    <row r="17" spans="18:18" ht="0" hidden="1" customHeight="1" x14ac:dyDescent="0.3"/>
    <row r="18" spans="18:18" ht="33.9" customHeight="1" x14ac:dyDescent="0.3"/>
    <row r="21" spans="18:18" x14ac:dyDescent="0.3">
      <c r="R21" s="1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8D39-2812-405F-A4A9-03B01BE45F47}">
  <dimension ref="A2:S162"/>
  <sheetViews>
    <sheetView view="pageBreakPreview" topLeftCell="H22" zoomScaleNormal="100" zoomScaleSheetLayoutView="100" workbookViewId="0">
      <selection activeCell="A42" sqref="A42:O42"/>
    </sheetView>
  </sheetViews>
  <sheetFormatPr baseColWidth="10" defaultColWidth="11.44140625" defaultRowHeight="12" x14ac:dyDescent="0.3"/>
  <cols>
    <col min="1" max="1" width="5" style="6" customWidth="1"/>
    <col min="2" max="2" width="5.33203125" style="6" customWidth="1"/>
    <col min="3" max="3" width="5" style="6" customWidth="1"/>
    <col min="4" max="5" width="7.44140625" style="6" customWidth="1"/>
    <col min="6" max="6" width="5.5546875" style="6" customWidth="1"/>
    <col min="7" max="7" width="7.5546875" style="6" customWidth="1"/>
    <col min="8" max="8" width="65.88671875" style="6" bestFit="1" customWidth="1"/>
    <col min="9" max="9" width="24" style="8" customWidth="1"/>
    <col min="10" max="10" width="25.44140625" style="8" customWidth="1"/>
    <col min="11" max="11" width="22.109375" style="6" customWidth="1"/>
    <col min="12" max="12" width="22" style="8" customWidth="1"/>
    <col min="13" max="13" width="25.5546875" style="8" customWidth="1"/>
    <col min="14" max="14" width="23.109375" style="90" customWidth="1"/>
    <col min="15" max="15" width="14" style="86" bestFit="1" customWidth="1"/>
    <col min="16" max="16" width="16" style="6" bestFit="1" customWidth="1"/>
    <col min="17" max="17" width="13" style="6" bestFit="1" customWidth="1"/>
    <col min="18" max="18" width="7.6640625" style="6" customWidth="1"/>
    <col min="19" max="19" width="15.88671875" style="7" bestFit="1" customWidth="1"/>
    <col min="20" max="16384" width="11.44140625" style="6"/>
  </cols>
  <sheetData>
    <row r="2" spans="1:19" s="2" customFormat="1" ht="27" customHeight="1" x14ac:dyDescent="0.3">
      <c r="A2" s="159" t="s">
        <v>213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"/>
      <c r="S2" s="3"/>
    </row>
    <row r="3" spans="1:19" s="2" customFormat="1" ht="27" customHeight="1" x14ac:dyDescent="0.3">
      <c r="A3" s="159" t="s">
        <v>214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"/>
      <c r="S3" s="3"/>
    </row>
    <row r="4" spans="1:19" s="2" customFormat="1" ht="27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</row>
    <row r="5" spans="1:19" ht="17.25" customHeight="1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9" ht="12" customHeight="1" x14ac:dyDescent="0.3">
      <c r="A6" s="160" t="s">
        <v>215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/>
    </row>
    <row r="7" spans="1:19" ht="20.25" customHeight="1" thickBot="1" x14ac:dyDescent="0.35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/>
      <c r="P7" s="8"/>
    </row>
    <row r="8" spans="1:19" ht="18" customHeight="1" x14ac:dyDescent="0.3">
      <c r="A8" s="166" t="s">
        <v>10</v>
      </c>
      <c r="B8" s="168" t="s">
        <v>11</v>
      </c>
      <c r="C8" s="168" t="s">
        <v>12</v>
      </c>
      <c r="D8" s="168" t="s">
        <v>13</v>
      </c>
      <c r="E8" s="168" t="s">
        <v>14</v>
      </c>
      <c r="F8" s="168" t="s">
        <v>15</v>
      </c>
      <c r="G8" s="168" t="s">
        <v>16</v>
      </c>
      <c r="H8" s="177" t="s">
        <v>216</v>
      </c>
      <c r="I8" s="177" t="s">
        <v>217</v>
      </c>
      <c r="J8" s="179" t="s">
        <v>218</v>
      </c>
      <c r="K8" s="179" t="s">
        <v>219</v>
      </c>
      <c r="L8" s="170" t="s">
        <v>220</v>
      </c>
      <c r="M8" s="170" t="s">
        <v>32</v>
      </c>
      <c r="N8" s="170" t="s">
        <v>221</v>
      </c>
      <c r="O8" s="172" t="s">
        <v>222</v>
      </c>
      <c r="P8" s="181" t="s">
        <v>223</v>
      </c>
      <c r="Q8" s="183" t="s">
        <v>224</v>
      </c>
    </row>
    <row r="9" spans="1:19" ht="18" customHeight="1" x14ac:dyDescent="0.3">
      <c r="A9" s="167"/>
      <c r="B9" s="169"/>
      <c r="C9" s="169"/>
      <c r="D9" s="169"/>
      <c r="E9" s="169"/>
      <c r="F9" s="169"/>
      <c r="G9" s="169"/>
      <c r="H9" s="178"/>
      <c r="I9" s="178"/>
      <c r="J9" s="180"/>
      <c r="K9" s="180"/>
      <c r="L9" s="171"/>
      <c r="M9" s="171"/>
      <c r="N9" s="171"/>
      <c r="O9" s="173"/>
      <c r="P9" s="182"/>
      <c r="Q9" s="184"/>
    </row>
    <row r="10" spans="1:19" ht="26.25" customHeight="1" x14ac:dyDescent="0.3">
      <c r="A10" s="9">
        <v>1</v>
      </c>
      <c r="B10" s="10"/>
      <c r="C10" s="11"/>
      <c r="D10" s="11"/>
      <c r="E10" s="11"/>
      <c r="F10" s="11"/>
      <c r="G10" s="12"/>
      <c r="H10" s="13" t="s">
        <v>225</v>
      </c>
      <c r="I10" s="14">
        <f t="shared" ref="I10:M10" si="0">SUM(I11:I13)</f>
        <v>62473876000</v>
      </c>
      <c r="J10" s="14">
        <f t="shared" si="0"/>
        <v>4228912629</v>
      </c>
      <c r="K10" s="110">
        <f t="shared" si="0"/>
        <v>58244963371</v>
      </c>
      <c r="L10" s="14">
        <f t="shared" si="0"/>
        <v>4071537548</v>
      </c>
      <c r="M10" s="14">
        <f t="shared" si="0"/>
        <v>4071537548</v>
      </c>
      <c r="N10" s="14">
        <f>SUM(N11:N13)</f>
        <v>0</v>
      </c>
      <c r="O10" s="15">
        <f t="shared" ref="O10:O23" si="1">+J10/I10</f>
        <v>6.7690895775379775E-2</v>
      </c>
      <c r="P10" s="16">
        <f>+L10/I10</f>
        <v>6.5171841555020538E-2</v>
      </c>
      <c r="Q10" s="15">
        <f>+M10/I10</f>
        <v>6.5171841555020538E-2</v>
      </c>
    </row>
    <row r="11" spans="1:19" ht="26.25" customHeight="1" x14ac:dyDescent="0.3">
      <c r="A11" s="17" t="s">
        <v>37</v>
      </c>
      <c r="B11" s="18" t="s">
        <v>37</v>
      </c>
      <c r="C11" s="18" t="s">
        <v>37</v>
      </c>
      <c r="D11" s="18"/>
      <c r="E11" s="18"/>
      <c r="F11" s="18"/>
      <c r="G11" s="19"/>
      <c r="H11" s="20" t="s">
        <v>191</v>
      </c>
      <c r="I11" s="21">
        <f>+'EJE DECRETO'!T5</f>
        <v>42805564000</v>
      </c>
      <c r="J11" s="22">
        <f>+'EJE DECRETO'!X5</f>
        <v>2869114391</v>
      </c>
      <c r="K11" s="106">
        <f>+'EJE DECRETO'!AB5</f>
        <v>39936449609</v>
      </c>
      <c r="L11" s="21">
        <f>+'EJE DECRETO'!Y5</f>
        <v>2836123758</v>
      </c>
      <c r="M11" s="21">
        <f>+'EJE DECRETO'!AA5</f>
        <v>2836123758</v>
      </c>
      <c r="N11" s="23">
        <f>+'EJE DECRETO'!W5</f>
        <v>0</v>
      </c>
      <c r="O11" s="24">
        <f t="shared" si="1"/>
        <v>6.7026669500254682E-2</v>
      </c>
      <c r="P11" s="25">
        <f>+L11/I11</f>
        <v>6.6255960510180401E-2</v>
      </c>
      <c r="Q11" s="26">
        <f>+M11/I11</f>
        <v>6.6255960510180401E-2</v>
      </c>
      <c r="R11" s="8"/>
    </row>
    <row r="12" spans="1:19" ht="26.25" customHeight="1" x14ac:dyDescent="0.3">
      <c r="A12" s="17" t="s">
        <v>37</v>
      </c>
      <c r="B12" s="18" t="s">
        <v>37</v>
      </c>
      <c r="C12" s="18" t="s">
        <v>59</v>
      </c>
      <c r="D12" s="19"/>
      <c r="E12" s="19"/>
      <c r="F12" s="19"/>
      <c r="G12" s="19"/>
      <c r="H12" s="27" t="s">
        <v>193</v>
      </c>
      <c r="I12" s="21">
        <f>+'EJE DECRETO'!T6</f>
        <v>14894614000</v>
      </c>
      <c r="J12" s="22">
        <f>+'EJE DECRETO'!X6</f>
        <v>1213760767</v>
      </c>
      <c r="K12" s="106">
        <f>+'EJE DECRETO'!AB6</f>
        <v>13680853233</v>
      </c>
      <c r="L12" s="21">
        <f>+'EJE DECRETO'!Y6</f>
        <v>1107077962</v>
      </c>
      <c r="M12" s="21">
        <f>+'EJE DECRETO'!AA6</f>
        <v>1107077962</v>
      </c>
      <c r="N12" s="23">
        <f>+'EJE DECRETO'!W6</f>
        <v>0</v>
      </c>
      <c r="O12" s="24">
        <f t="shared" si="1"/>
        <v>8.1489910849653444E-2</v>
      </c>
      <c r="P12" s="25">
        <f>+L12/I12</f>
        <v>7.4327401972283408E-2</v>
      </c>
      <c r="Q12" s="26">
        <f>+M12/I12</f>
        <v>7.4327401972283408E-2</v>
      </c>
      <c r="R12" s="8"/>
    </row>
    <row r="13" spans="1:19" ht="26.25" customHeight="1" x14ac:dyDescent="0.3">
      <c r="A13" s="17" t="s">
        <v>37</v>
      </c>
      <c r="B13" s="18" t="s">
        <v>37</v>
      </c>
      <c r="C13" s="18" t="s">
        <v>77</v>
      </c>
      <c r="D13" s="19"/>
      <c r="E13" s="19"/>
      <c r="F13" s="19"/>
      <c r="G13" s="19"/>
      <c r="H13" s="27" t="s">
        <v>195</v>
      </c>
      <c r="I13" s="21">
        <f>+'EJE DECRETO'!T7</f>
        <v>4773698000</v>
      </c>
      <c r="J13" s="22">
        <f>+'EJE DECRETO'!X7</f>
        <v>146037471</v>
      </c>
      <c r="K13" s="106">
        <f>+'EJE DECRETO'!AB7</f>
        <v>4627660529</v>
      </c>
      <c r="L13" s="21">
        <f>+'EJE DECRETO'!Y7</f>
        <v>128335828</v>
      </c>
      <c r="M13" s="21">
        <f>+'EJE DECRETO'!AA7</f>
        <v>128335828</v>
      </c>
      <c r="N13" s="23">
        <f>+'EJE DECRETO'!W7</f>
        <v>0</v>
      </c>
      <c r="O13" s="24">
        <f t="shared" si="1"/>
        <v>3.0592105114315989E-2</v>
      </c>
      <c r="P13" s="25">
        <f>+L13/I13</f>
        <v>2.6883943642852983E-2</v>
      </c>
      <c r="Q13" s="26">
        <f>+M13/I13</f>
        <v>2.6883943642852983E-2</v>
      </c>
      <c r="R13" s="8"/>
    </row>
    <row r="14" spans="1:19" s="5" customFormat="1" ht="26.25" customHeight="1" x14ac:dyDescent="0.3">
      <c r="A14" s="28" t="s">
        <v>59</v>
      </c>
      <c r="B14" s="29"/>
      <c r="C14" s="29"/>
      <c r="D14" s="29"/>
      <c r="E14" s="29"/>
      <c r="F14" s="29"/>
      <c r="G14" s="30"/>
      <c r="H14" s="13" t="s">
        <v>197</v>
      </c>
      <c r="I14" s="31">
        <f t="shared" ref="I14:N14" si="2">SUM(I15:I15)</f>
        <v>170358209405</v>
      </c>
      <c r="J14" s="31">
        <f t="shared" si="2"/>
        <v>99109216584.929993</v>
      </c>
      <c r="K14" s="107">
        <f t="shared" si="2"/>
        <v>5043249712.4100037</v>
      </c>
      <c r="L14" s="31">
        <f>SUM(L15:L15)</f>
        <v>61325348.5</v>
      </c>
      <c r="M14" s="31">
        <f>SUM(M15:M15)</f>
        <v>61325348.5</v>
      </c>
      <c r="N14" s="31">
        <f t="shared" si="2"/>
        <v>66205743107.660004</v>
      </c>
      <c r="O14" s="15">
        <f t="shared" si="1"/>
        <v>0.58176953685462451</v>
      </c>
      <c r="P14" s="16">
        <f>+L14/I14</f>
        <v>3.599788276372909E-4</v>
      </c>
      <c r="Q14" s="15">
        <f>+M14/I14</f>
        <v>3.599788276372909E-4</v>
      </c>
      <c r="S14" s="32"/>
    </row>
    <row r="15" spans="1:19" ht="26.25" customHeight="1" x14ac:dyDescent="0.3">
      <c r="A15" s="33" t="s">
        <v>59</v>
      </c>
      <c r="B15" s="19" t="s">
        <v>59</v>
      </c>
      <c r="C15" s="19">
        <v>1</v>
      </c>
      <c r="D15" s="19"/>
      <c r="E15" s="19"/>
      <c r="F15" s="19"/>
      <c r="G15" s="19"/>
      <c r="H15" s="34" t="s">
        <v>226</v>
      </c>
      <c r="I15" s="21">
        <f>+'EJE DECRETO'!T8</f>
        <v>170358209405</v>
      </c>
      <c r="J15" s="22">
        <f>+'EJE DECRETO'!X8</f>
        <v>99109216584.929993</v>
      </c>
      <c r="K15" s="106">
        <f>+'EJE DECRETO'!AB8</f>
        <v>5043249712.4100037</v>
      </c>
      <c r="L15" s="22">
        <f>+'EJE DECRETO'!Y8</f>
        <v>61325348.5</v>
      </c>
      <c r="M15" s="22">
        <f>+'EJE DECRETO'!AA8</f>
        <v>61325348.5</v>
      </c>
      <c r="N15" s="22">
        <f>+'EJE DECRETO'!W8</f>
        <v>66205743107.660004</v>
      </c>
      <c r="O15" s="24">
        <f t="shared" si="1"/>
        <v>0.58176953685462451</v>
      </c>
      <c r="P15" s="25">
        <f t="shared" ref="P15:P32" si="3">+L15/I15</f>
        <v>3.599788276372909E-4</v>
      </c>
      <c r="Q15" s="26">
        <f t="shared" ref="Q15:Q32" si="4">+M15/I15</f>
        <v>3.599788276372909E-4</v>
      </c>
      <c r="R15" s="8"/>
    </row>
    <row r="16" spans="1:19" s="5" customFormat="1" ht="26.25" customHeight="1" x14ac:dyDescent="0.3">
      <c r="A16" s="35" t="s">
        <v>77</v>
      </c>
      <c r="B16" s="36"/>
      <c r="C16" s="36"/>
      <c r="D16" s="36"/>
      <c r="E16" s="36"/>
      <c r="F16" s="36"/>
      <c r="G16" s="37"/>
      <c r="H16" s="13" t="s">
        <v>227</v>
      </c>
      <c r="I16" s="31">
        <f t="shared" ref="I16:N16" si="5">SUM(I17:I20)</f>
        <v>2578124000</v>
      </c>
      <c r="J16" s="31">
        <f t="shared" si="5"/>
        <v>2092784295</v>
      </c>
      <c r="K16" s="107">
        <f t="shared" si="5"/>
        <v>288339705</v>
      </c>
      <c r="L16" s="31">
        <f t="shared" si="5"/>
        <v>38088569</v>
      </c>
      <c r="M16" s="31">
        <f t="shared" si="5"/>
        <v>38088569</v>
      </c>
      <c r="N16" s="31">
        <f t="shared" si="5"/>
        <v>197000000</v>
      </c>
      <c r="O16" s="15">
        <f t="shared" si="1"/>
        <v>0.81174695049578682</v>
      </c>
      <c r="P16" s="16">
        <f>+L16/I16</f>
        <v>1.4773753706183257E-2</v>
      </c>
      <c r="Q16" s="38">
        <f>+M16/I16</f>
        <v>1.4773753706183257E-2</v>
      </c>
      <c r="R16" s="39"/>
      <c r="S16" s="40"/>
    </row>
    <row r="17" spans="1:19" ht="26.25" customHeight="1" x14ac:dyDescent="0.3">
      <c r="A17" s="17" t="s">
        <v>77</v>
      </c>
      <c r="B17" s="18" t="s">
        <v>77</v>
      </c>
      <c r="C17" s="18" t="s">
        <v>37</v>
      </c>
      <c r="D17" s="41">
        <v>78</v>
      </c>
      <c r="E17" s="42"/>
      <c r="F17" s="42"/>
      <c r="G17" s="42"/>
      <c r="H17" s="27" t="s">
        <v>200</v>
      </c>
      <c r="I17" s="21">
        <f>+'EJE DECRETO'!T9</f>
        <v>2181124000</v>
      </c>
      <c r="J17" s="43">
        <f>+'EJE DECRETO'!X9</f>
        <v>2064842664</v>
      </c>
      <c r="K17" s="108">
        <f>+'EJE DECRETO'!AB9</f>
        <v>36281336</v>
      </c>
      <c r="L17" s="21">
        <f>+'EJE DECRETO'!Y9</f>
        <v>10146938</v>
      </c>
      <c r="M17" s="21">
        <f>+'EJE DECRETO'!AA9</f>
        <v>10146938</v>
      </c>
      <c r="N17" s="23">
        <f>+'EJE DECRETO'!W9</f>
        <v>80000000</v>
      </c>
      <c r="O17" s="24">
        <f t="shared" si="1"/>
        <v>0.94668742538250916</v>
      </c>
      <c r="P17" s="25">
        <f t="shared" si="3"/>
        <v>4.6521600789317802E-3</v>
      </c>
      <c r="Q17" s="26">
        <f t="shared" si="4"/>
        <v>4.6521600789317802E-3</v>
      </c>
      <c r="R17" s="8"/>
      <c r="S17" s="44"/>
    </row>
    <row r="18" spans="1:19" ht="26.25" customHeight="1" x14ac:dyDescent="0.3">
      <c r="A18" s="17" t="s">
        <v>77</v>
      </c>
      <c r="B18" s="18" t="s">
        <v>158</v>
      </c>
      <c r="C18" s="46" t="s">
        <v>59</v>
      </c>
      <c r="D18" s="46" t="s">
        <v>159</v>
      </c>
      <c r="E18" s="47" t="s">
        <v>38</v>
      </c>
      <c r="F18" s="47"/>
      <c r="G18" s="19"/>
      <c r="H18" s="27" t="s">
        <v>160</v>
      </c>
      <c r="I18" s="21">
        <f>+'EJE DESAGREGADA'!Q56</f>
        <v>90000000</v>
      </c>
      <c r="J18" s="43">
        <f>+'EJE DESAGREGADA'!X56</f>
        <v>10365194</v>
      </c>
      <c r="K18" s="108">
        <f>+'EJE DESAGREGADA'!AB56</f>
        <v>79634806</v>
      </c>
      <c r="L18" s="21">
        <f>+'EJE DESAGREGADA'!Y56</f>
        <v>10365194</v>
      </c>
      <c r="M18" s="21">
        <f>+'EJE DESAGREGADA'!AA56</f>
        <v>10365194</v>
      </c>
      <c r="N18" s="23">
        <f>+'EJE DESAGREGADA'!W56</f>
        <v>0</v>
      </c>
      <c r="O18" s="24">
        <f t="shared" si="1"/>
        <v>0.11516882222222222</v>
      </c>
      <c r="P18" s="25">
        <f t="shared" si="3"/>
        <v>0.11516882222222222</v>
      </c>
      <c r="Q18" s="26">
        <f t="shared" si="4"/>
        <v>0.11516882222222222</v>
      </c>
      <c r="R18" s="8"/>
      <c r="S18" s="44"/>
    </row>
    <row r="19" spans="1:19" ht="26.25" customHeight="1" x14ac:dyDescent="0.3">
      <c r="A19" s="45" t="s">
        <v>77</v>
      </c>
      <c r="B19" s="18" t="s">
        <v>158</v>
      </c>
      <c r="C19" s="46" t="s">
        <v>59</v>
      </c>
      <c r="D19" s="46" t="s">
        <v>159</v>
      </c>
      <c r="E19" s="47" t="s">
        <v>62</v>
      </c>
      <c r="F19" s="47"/>
      <c r="G19" s="19"/>
      <c r="H19" s="27" t="s">
        <v>162</v>
      </c>
      <c r="I19" s="21">
        <f>+'EJE DESAGREGADA'!V57</f>
        <v>190000000</v>
      </c>
      <c r="J19" s="43">
        <f>+'EJE DESAGREGADA'!X57</f>
        <v>17576437</v>
      </c>
      <c r="K19" s="108">
        <f>+'EJE DESAGREGADA'!AB57</f>
        <v>172423563</v>
      </c>
      <c r="L19" s="21">
        <f>+'EJE DESAGREGADA'!Y57</f>
        <v>17576437</v>
      </c>
      <c r="M19" s="21">
        <f>+'EJE DESAGREGADA'!AA57</f>
        <v>17576437</v>
      </c>
      <c r="N19" s="23">
        <f>+'EJE DESAGREGADA'!W57</f>
        <v>0</v>
      </c>
      <c r="O19" s="24">
        <f t="shared" si="1"/>
        <v>9.250756315789474E-2</v>
      </c>
      <c r="P19" s="25">
        <f t="shared" si="3"/>
        <v>9.250756315789474E-2</v>
      </c>
      <c r="Q19" s="26">
        <f t="shared" si="4"/>
        <v>9.250756315789474E-2</v>
      </c>
      <c r="S19" s="44"/>
    </row>
    <row r="20" spans="1:19" ht="26.25" customHeight="1" x14ac:dyDescent="0.3">
      <c r="A20" s="45" t="s">
        <v>77</v>
      </c>
      <c r="B20" s="18">
        <v>10</v>
      </c>
      <c r="C20" s="46" t="s">
        <v>59</v>
      </c>
      <c r="D20" s="46" t="s">
        <v>38</v>
      </c>
      <c r="E20" s="47"/>
      <c r="F20" s="47"/>
      <c r="G20" s="19"/>
      <c r="H20" s="27" t="s">
        <v>164</v>
      </c>
      <c r="I20" s="48">
        <f>+'EJE DESAGREGADA'!T58</f>
        <v>117000000</v>
      </c>
      <c r="J20" s="21">
        <f>+'EJE DESAGREGADA'!X58</f>
        <v>0</v>
      </c>
      <c r="K20" s="105">
        <f>+'EJE DESAGREGADA'!AB58</f>
        <v>0</v>
      </c>
      <c r="L20" s="21">
        <f>+'EJE DESAGREGADA'!Y58</f>
        <v>0</v>
      </c>
      <c r="M20" s="21">
        <f>+'EJE DESAGREGADA'!AA58</f>
        <v>0</v>
      </c>
      <c r="N20" s="48">
        <f>+'EJE DESAGREGADA'!W58</f>
        <v>117000000</v>
      </c>
      <c r="O20" s="24">
        <f t="shared" si="1"/>
        <v>0</v>
      </c>
      <c r="P20" s="49">
        <f t="shared" si="3"/>
        <v>0</v>
      </c>
      <c r="Q20" s="50">
        <f>+M20/I20</f>
        <v>0</v>
      </c>
      <c r="S20" s="44"/>
    </row>
    <row r="21" spans="1:19" s="5" customFormat="1" ht="26.25" customHeight="1" x14ac:dyDescent="0.3">
      <c r="A21" s="185" t="s">
        <v>206</v>
      </c>
      <c r="B21" s="186"/>
      <c r="C21" s="186"/>
      <c r="D21" s="186"/>
      <c r="E21" s="186"/>
      <c r="F21" s="186"/>
      <c r="G21" s="187"/>
      <c r="H21" s="51" t="str">
        <f>+'[1]EJECUCION AGENCIA'!H97</f>
        <v>GASTOS POR TRIBUTOS, MULTAS, SANCIONES E INTERESES DE MORA</v>
      </c>
      <c r="I21" s="31">
        <f t="shared" ref="I21:N21" si="6">SUM(I22)</f>
        <v>309000000</v>
      </c>
      <c r="J21" s="31">
        <f t="shared" si="6"/>
        <v>0</v>
      </c>
      <c r="K21" s="107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309000000</v>
      </c>
      <c r="O21" s="15">
        <f t="shared" si="1"/>
        <v>0</v>
      </c>
      <c r="P21" s="16">
        <f t="shared" si="3"/>
        <v>0</v>
      </c>
      <c r="Q21" s="15">
        <f t="shared" si="4"/>
        <v>0</v>
      </c>
      <c r="R21" s="52"/>
      <c r="S21" s="53"/>
    </row>
    <row r="22" spans="1:19" ht="26.25" customHeight="1" x14ac:dyDescent="0.3">
      <c r="A22" s="17" t="s">
        <v>206</v>
      </c>
      <c r="B22" s="18" t="s">
        <v>158</v>
      </c>
      <c r="C22" s="18" t="s">
        <v>37</v>
      </c>
      <c r="D22" s="18"/>
      <c r="E22" s="42"/>
      <c r="F22" s="42"/>
      <c r="G22" s="54"/>
      <c r="H22" s="55" t="str">
        <f>+'[1]EJECUCION AGENCIA'!H99</f>
        <v>CUOTA DE FISCALIZACIÓN Y AUDITAJE</v>
      </c>
      <c r="I22" s="21">
        <f>+'EJE DECRETO'!T12</f>
        <v>309000000</v>
      </c>
      <c r="J22" s="43">
        <f>+'EJE DECRETO'!X12</f>
        <v>0</v>
      </c>
      <c r="K22" s="111">
        <f>+'EJE DECRETO'!AB12</f>
        <v>0</v>
      </c>
      <c r="L22" s="114">
        <f>+'EJE DECRETO'!Y12</f>
        <v>0</v>
      </c>
      <c r="M22" s="114">
        <f>+'EJE DECRETO'!AA12</f>
        <v>0</v>
      </c>
      <c r="N22" s="23">
        <f>+'EJE DECRETO'!W12</f>
        <v>309000000</v>
      </c>
      <c r="O22" s="26">
        <f t="shared" si="1"/>
        <v>0</v>
      </c>
      <c r="P22" s="25">
        <f t="shared" si="3"/>
        <v>0</v>
      </c>
      <c r="Q22" s="26">
        <f t="shared" si="4"/>
        <v>0</v>
      </c>
      <c r="S22" s="44"/>
    </row>
    <row r="23" spans="1:19" ht="26.25" customHeight="1" x14ac:dyDescent="0.3">
      <c r="A23" s="174" t="s">
        <v>228</v>
      </c>
      <c r="B23" s="175"/>
      <c r="C23" s="175"/>
      <c r="D23" s="175"/>
      <c r="E23" s="175"/>
      <c r="F23" s="175"/>
      <c r="G23" s="175"/>
      <c r="H23" s="176"/>
      <c r="I23" s="56">
        <f t="shared" ref="I23:N23" si="7">I10+I14+I16+I21</f>
        <v>235719209405</v>
      </c>
      <c r="J23" s="56">
        <f t="shared" si="7"/>
        <v>105430913508.92999</v>
      </c>
      <c r="K23" s="112">
        <f t="shared" si="7"/>
        <v>63576552788.410004</v>
      </c>
      <c r="L23" s="56">
        <f t="shared" si="7"/>
        <v>4170951465.5</v>
      </c>
      <c r="M23" s="56">
        <f t="shared" si="7"/>
        <v>4170951465.5</v>
      </c>
      <c r="N23" s="56">
        <f t="shared" si="7"/>
        <v>66711743107.660004</v>
      </c>
      <c r="O23" s="57">
        <f t="shared" si="1"/>
        <v>0.44727332055396596</v>
      </c>
      <c r="P23" s="58">
        <f t="shared" si="3"/>
        <v>1.76945760000989E-2</v>
      </c>
      <c r="Q23" s="57">
        <f t="shared" si="4"/>
        <v>1.76945760000989E-2</v>
      </c>
    </row>
    <row r="24" spans="1:19" ht="36" customHeight="1" x14ac:dyDescent="0.3">
      <c r="A24" s="59" t="s">
        <v>167</v>
      </c>
      <c r="B24" s="60" t="s">
        <v>168</v>
      </c>
      <c r="C24" s="60">
        <v>3</v>
      </c>
      <c r="D24" s="188"/>
      <c r="E24" s="189"/>
      <c r="F24" s="189"/>
      <c r="G24" s="190"/>
      <c r="H24" s="13" t="s">
        <v>229</v>
      </c>
      <c r="I24" s="31">
        <f t="shared" ref="I24:N24" si="8">SUM(I25:I27)</f>
        <v>5958976410</v>
      </c>
      <c r="J24" s="31">
        <f t="shared" si="8"/>
        <v>2012933280</v>
      </c>
      <c r="K24" s="31">
        <f t="shared" si="8"/>
        <v>3274975384</v>
      </c>
      <c r="L24" s="31">
        <f t="shared" si="8"/>
        <v>0</v>
      </c>
      <c r="M24" s="31">
        <f t="shared" si="8"/>
        <v>0</v>
      </c>
      <c r="N24" s="31">
        <f t="shared" si="8"/>
        <v>671067746</v>
      </c>
      <c r="O24" s="15">
        <f t="shared" ref="O24:O32" si="9">+J24/I24</f>
        <v>0.33779849784637761</v>
      </c>
      <c r="P24" s="16">
        <f t="shared" si="3"/>
        <v>0</v>
      </c>
      <c r="Q24" s="15">
        <f t="shared" si="4"/>
        <v>0</v>
      </c>
      <c r="R24" s="8"/>
    </row>
    <row r="25" spans="1:19" ht="45.75" customHeight="1" x14ac:dyDescent="0.3">
      <c r="A25" s="61" t="s">
        <v>167</v>
      </c>
      <c r="B25" s="62" t="s">
        <v>168</v>
      </c>
      <c r="C25" s="62">
        <v>3</v>
      </c>
      <c r="D25" s="63" t="s">
        <v>170</v>
      </c>
      <c r="E25" s="64" t="s">
        <v>171</v>
      </c>
      <c r="F25" s="19" t="s">
        <v>59</v>
      </c>
      <c r="G25" s="19" t="s">
        <v>37</v>
      </c>
      <c r="H25" s="65" t="s">
        <v>230</v>
      </c>
      <c r="I25" s="48">
        <f>+'EJE DESAGREGADA'!T59</f>
        <v>3429600000</v>
      </c>
      <c r="J25" s="48">
        <f>+'EJE DESAGREGADA'!X59</f>
        <v>1019000000</v>
      </c>
      <c r="K25" s="109">
        <f>+'EJE DESAGREGADA'!AB59</f>
        <v>1899944000</v>
      </c>
      <c r="L25" s="48">
        <f>+'EJE DESAGREGADA'!Y59</f>
        <v>0</v>
      </c>
      <c r="M25" s="48">
        <f>+'EJE DESAGREGADA'!AA59</f>
        <v>0</v>
      </c>
      <c r="N25" s="48">
        <f>+'EJE DESAGREGADA'!W59</f>
        <v>510656000</v>
      </c>
      <c r="O25" s="66">
        <f t="shared" si="9"/>
        <v>0.29711919757406113</v>
      </c>
      <c r="P25" s="67">
        <v>0</v>
      </c>
      <c r="Q25" s="66">
        <v>0</v>
      </c>
      <c r="R25" s="8"/>
    </row>
    <row r="26" spans="1:19" ht="47.25" customHeight="1" x14ac:dyDescent="0.3">
      <c r="A26" s="61" t="s">
        <v>167</v>
      </c>
      <c r="B26" s="62" t="s">
        <v>168</v>
      </c>
      <c r="C26" s="62">
        <v>3</v>
      </c>
      <c r="D26" s="63" t="s">
        <v>170</v>
      </c>
      <c r="E26" s="64" t="s">
        <v>175</v>
      </c>
      <c r="F26" s="19" t="s">
        <v>59</v>
      </c>
      <c r="G26" s="19" t="s">
        <v>37</v>
      </c>
      <c r="H26" s="65" t="s">
        <v>230</v>
      </c>
      <c r="I26" s="48">
        <f>+'EJE DESAGREGADA'!T60</f>
        <v>0</v>
      </c>
      <c r="J26" s="48">
        <f>+'EJE DESAGREGADA'!X60</f>
        <v>0</v>
      </c>
      <c r="K26" s="109">
        <f>+'EJE DESAGREGADA'!AB60</f>
        <v>0</v>
      </c>
      <c r="L26" s="48">
        <f>+'EJE DESAGREGADA'!Y60</f>
        <v>0</v>
      </c>
      <c r="M26" s="48">
        <f>+'EJE DESAGREGADA'!AA60</f>
        <v>0</v>
      </c>
      <c r="N26" s="48">
        <f>+'EJE DESAGREGADA'!W60</f>
        <v>0</v>
      </c>
      <c r="O26" s="66">
        <v>0</v>
      </c>
      <c r="P26" s="67">
        <v>0</v>
      </c>
      <c r="Q26" s="66">
        <v>0</v>
      </c>
      <c r="R26" s="8"/>
    </row>
    <row r="27" spans="1:19" ht="42" customHeight="1" x14ac:dyDescent="0.3">
      <c r="A27" s="61" t="s">
        <v>167</v>
      </c>
      <c r="B27" s="62" t="s">
        <v>168</v>
      </c>
      <c r="C27" s="62">
        <v>3</v>
      </c>
      <c r="D27" s="63" t="s">
        <v>170</v>
      </c>
      <c r="E27" s="64" t="s">
        <v>177</v>
      </c>
      <c r="F27" s="19" t="s">
        <v>59</v>
      </c>
      <c r="G27" s="19" t="s">
        <v>59</v>
      </c>
      <c r="H27" s="65" t="s">
        <v>231</v>
      </c>
      <c r="I27" s="48">
        <f>+'EJE DESAGREGADA'!T61</f>
        <v>2529376410</v>
      </c>
      <c r="J27" s="48">
        <f>+'EJE DESAGREGADA'!X61</f>
        <v>993933280</v>
      </c>
      <c r="K27" s="109">
        <f>+'EJE DESAGREGADA'!AB61</f>
        <v>1375031384</v>
      </c>
      <c r="L27" s="48">
        <f>+'EJE DESAGREGADA'!Y61</f>
        <v>0</v>
      </c>
      <c r="M27" s="48">
        <f>+'EJE DESAGREGADA'!AA61</f>
        <v>0</v>
      </c>
      <c r="N27" s="48">
        <f>+'EJE DESAGREGADA'!W61</f>
        <v>160411746</v>
      </c>
      <c r="O27" s="66">
        <f t="shared" si="9"/>
        <v>0.39295585902930119</v>
      </c>
      <c r="P27" s="67">
        <f t="shared" si="3"/>
        <v>0</v>
      </c>
      <c r="Q27" s="66">
        <f t="shared" si="4"/>
        <v>0</v>
      </c>
      <c r="R27" s="8"/>
    </row>
    <row r="28" spans="1:19" ht="36" customHeight="1" x14ac:dyDescent="0.3">
      <c r="A28" s="59" t="s">
        <v>167</v>
      </c>
      <c r="B28" s="60" t="s">
        <v>168</v>
      </c>
      <c r="C28" s="60">
        <v>4</v>
      </c>
      <c r="D28" s="188"/>
      <c r="E28" s="189"/>
      <c r="F28" s="189"/>
      <c r="G28" s="190"/>
      <c r="H28" s="13" t="s">
        <v>232</v>
      </c>
      <c r="I28" s="31">
        <f t="shared" ref="I28:N28" si="10">SUM(I29:I31)</f>
        <v>16307350590</v>
      </c>
      <c r="J28" s="31">
        <f t="shared" si="10"/>
        <v>0</v>
      </c>
      <c r="K28" s="31">
        <f t="shared" si="10"/>
        <v>0</v>
      </c>
      <c r="L28" s="31">
        <f t="shared" si="10"/>
        <v>0</v>
      </c>
      <c r="M28" s="31">
        <f t="shared" si="10"/>
        <v>0</v>
      </c>
      <c r="N28" s="31">
        <f t="shared" si="10"/>
        <v>16307350590</v>
      </c>
      <c r="O28" s="15">
        <f>+J28/I28</f>
        <v>0</v>
      </c>
      <c r="P28" s="16">
        <f>+L28/I28</f>
        <v>0</v>
      </c>
      <c r="Q28" s="15">
        <f>+M28/I28</f>
        <v>0</v>
      </c>
      <c r="R28" s="8"/>
    </row>
    <row r="29" spans="1:19" ht="45.75" customHeight="1" x14ac:dyDescent="0.3">
      <c r="A29" s="61" t="s">
        <v>167</v>
      </c>
      <c r="B29" s="62" t="s">
        <v>168</v>
      </c>
      <c r="C29" s="62">
        <v>4</v>
      </c>
      <c r="D29" s="63" t="s">
        <v>170</v>
      </c>
      <c r="E29" s="64" t="s">
        <v>175</v>
      </c>
      <c r="F29" s="19" t="s">
        <v>59</v>
      </c>
      <c r="G29" s="19"/>
      <c r="H29" s="65" t="s">
        <v>230</v>
      </c>
      <c r="I29" s="48">
        <f>+'EJE DESAGREGADA'!T62</f>
        <v>4267568590</v>
      </c>
      <c r="J29" s="48">
        <f>+'EJE DESAGREGADA'!X62</f>
        <v>0</v>
      </c>
      <c r="K29" s="109">
        <f>+'EJE DESAGREGADA'!AB62</f>
        <v>0</v>
      </c>
      <c r="L29" s="48">
        <f>+'EJE DESAGREGADA'!Y62</f>
        <v>0</v>
      </c>
      <c r="M29" s="48">
        <f>+'EJE DESAGREGADA'!AA62</f>
        <v>0</v>
      </c>
      <c r="N29" s="48">
        <f>+'EJE DESAGREGADA'!W62</f>
        <v>4267568590</v>
      </c>
      <c r="O29" s="66">
        <f>+J29/I29</f>
        <v>0</v>
      </c>
      <c r="P29" s="67">
        <f>+L29/I29</f>
        <v>0</v>
      </c>
      <c r="Q29" s="66">
        <f>+M29/I29</f>
        <v>0</v>
      </c>
      <c r="R29" s="8"/>
    </row>
    <row r="30" spans="1:19" ht="47.25" customHeight="1" x14ac:dyDescent="0.3">
      <c r="A30" s="61" t="s">
        <v>167</v>
      </c>
      <c r="B30" s="62" t="s">
        <v>168</v>
      </c>
      <c r="C30" s="62">
        <v>4</v>
      </c>
      <c r="D30" s="63" t="s">
        <v>170</v>
      </c>
      <c r="E30" s="64" t="s">
        <v>185</v>
      </c>
      <c r="F30" s="19" t="s">
        <v>59</v>
      </c>
      <c r="G30" s="19"/>
      <c r="H30" s="65" t="s">
        <v>230</v>
      </c>
      <c r="I30" s="48">
        <f>+'EJE DESAGREGADA'!T64</f>
        <v>6969782000</v>
      </c>
      <c r="J30" s="48">
        <f>+'EJE DESAGREGADA'!X64</f>
        <v>0</v>
      </c>
      <c r="K30" s="109">
        <f>+'EJE DESAGREGADA'!AB64</f>
        <v>0</v>
      </c>
      <c r="L30" s="48">
        <f>+'EJE DESAGREGADA'!Y64</f>
        <v>0</v>
      </c>
      <c r="M30" s="48">
        <f>+'EJE DESAGREGADA'!AA64</f>
        <v>0</v>
      </c>
      <c r="N30" s="48">
        <f>+'EJE DESAGREGADA'!W64</f>
        <v>6969782000</v>
      </c>
      <c r="O30" s="66">
        <f t="shared" ref="O30:O31" si="11">+J30/I30</f>
        <v>0</v>
      </c>
      <c r="P30" s="67">
        <f t="shared" ref="P30:P31" si="12">+L30/I30</f>
        <v>0</v>
      </c>
      <c r="Q30" s="66">
        <f t="shared" ref="Q30:Q31" si="13">+M30/I30</f>
        <v>0</v>
      </c>
      <c r="R30" s="8"/>
    </row>
    <row r="31" spans="1:19" ht="42" customHeight="1" x14ac:dyDescent="0.3">
      <c r="A31" s="61" t="s">
        <v>167</v>
      </c>
      <c r="B31" s="62" t="s">
        <v>168</v>
      </c>
      <c r="C31" s="62">
        <v>4</v>
      </c>
      <c r="D31" s="63" t="s">
        <v>170</v>
      </c>
      <c r="E31" s="64" t="s">
        <v>188</v>
      </c>
      <c r="F31" s="19" t="s">
        <v>59</v>
      </c>
      <c r="G31" s="19"/>
      <c r="H31" s="65" t="s">
        <v>231</v>
      </c>
      <c r="I31" s="48">
        <f>+'EJE DESAGREGADA'!T63</f>
        <v>5070000000</v>
      </c>
      <c r="J31" s="48">
        <f>+'EJE DESAGREGADA'!X63</f>
        <v>0</v>
      </c>
      <c r="K31" s="109">
        <f>+'EJE DESAGREGADA'!AB63</f>
        <v>0</v>
      </c>
      <c r="L31" s="48">
        <f>+'EJE DESAGREGADA'!Y63</f>
        <v>0</v>
      </c>
      <c r="M31" s="48">
        <f>+'EJE DESAGREGADA'!AA63</f>
        <v>0</v>
      </c>
      <c r="N31" s="48">
        <f>+'EJE DESAGREGADA'!W63</f>
        <v>5070000000</v>
      </c>
      <c r="O31" s="66">
        <f t="shared" si="11"/>
        <v>0</v>
      </c>
      <c r="P31" s="67">
        <f t="shared" si="12"/>
        <v>0</v>
      </c>
      <c r="Q31" s="66">
        <f t="shared" si="13"/>
        <v>0</v>
      </c>
      <c r="R31" s="8"/>
    </row>
    <row r="32" spans="1:19" ht="24.75" customHeight="1" x14ac:dyDescent="0.3">
      <c r="A32" s="174" t="s">
        <v>233</v>
      </c>
      <c r="B32" s="175"/>
      <c r="C32" s="175"/>
      <c r="D32" s="175"/>
      <c r="E32" s="175"/>
      <c r="F32" s="175"/>
      <c r="G32" s="175"/>
      <c r="H32" s="176"/>
      <c r="I32" s="56">
        <f t="shared" ref="I32:N32" si="14">I24+I28</f>
        <v>22266327000</v>
      </c>
      <c r="J32" s="56">
        <f t="shared" si="14"/>
        <v>2012933280</v>
      </c>
      <c r="K32" s="112">
        <f t="shared" si="14"/>
        <v>3274975384</v>
      </c>
      <c r="L32" s="112">
        <f t="shared" si="14"/>
        <v>0</v>
      </c>
      <c r="M32" s="112">
        <f t="shared" si="14"/>
        <v>0</v>
      </c>
      <c r="N32" s="112">
        <f t="shared" si="14"/>
        <v>16978418336</v>
      </c>
      <c r="O32" s="57">
        <f t="shared" si="9"/>
        <v>9.0402574254837803E-2</v>
      </c>
      <c r="P32" s="58">
        <f t="shared" si="3"/>
        <v>0</v>
      </c>
      <c r="Q32" s="57">
        <f t="shared" si="4"/>
        <v>0</v>
      </c>
    </row>
    <row r="33" spans="1:19" s="73" customFormat="1" ht="24" customHeight="1" thickBot="1" x14ac:dyDescent="0.35">
      <c r="A33" s="191" t="s">
        <v>234</v>
      </c>
      <c r="B33" s="192"/>
      <c r="C33" s="192"/>
      <c r="D33" s="192"/>
      <c r="E33" s="192"/>
      <c r="F33" s="192"/>
      <c r="G33" s="192"/>
      <c r="H33" s="193"/>
      <c r="I33" s="68">
        <f t="shared" ref="I33:N33" si="15">+I23+I32</f>
        <v>257985536405</v>
      </c>
      <c r="J33" s="68">
        <f t="shared" si="15"/>
        <v>107443846788.92999</v>
      </c>
      <c r="K33" s="113">
        <f t="shared" si="15"/>
        <v>66851528172.410004</v>
      </c>
      <c r="L33" s="68">
        <f t="shared" si="15"/>
        <v>4170951465.5</v>
      </c>
      <c r="M33" s="68">
        <f t="shared" si="15"/>
        <v>4170951465.5</v>
      </c>
      <c r="N33" s="68">
        <f t="shared" si="15"/>
        <v>83690161443.660004</v>
      </c>
      <c r="O33" s="69">
        <f>+J33/I33</f>
        <v>0.41647236618822958</v>
      </c>
      <c r="P33" s="70">
        <f>+L33/I33</f>
        <v>1.6167384899253456E-2</v>
      </c>
      <c r="Q33" s="69">
        <f>+M33/I33</f>
        <v>1.6167384899253456E-2</v>
      </c>
      <c r="R33" s="71"/>
      <c r="S33" s="72"/>
    </row>
    <row r="34" spans="1:19" s="79" customFormat="1" ht="12" customHeight="1" x14ac:dyDescent="0.3">
      <c r="A34" s="74"/>
      <c r="B34" s="74"/>
      <c r="C34" s="74"/>
      <c r="D34" s="74"/>
      <c r="E34" s="74"/>
      <c r="F34" s="74"/>
      <c r="G34" s="74"/>
      <c r="H34" s="74"/>
      <c r="I34" s="75"/>
      <c r="J34" s="75"/>
      <c r="K34" s="76"/>
      <c r="L34" s="75"/>
      <c r="M34" s="77"/>
      <c r="N34" s="77"/>
      <c r="O34" s="78"/>
      <c r="P34" s="78"/>
      <c r="Q34" s="78"/>
      <c r="S34" s="80"/>
    </row>
    <row r="35" spans="1:19" ht="12" customHeight="1" x14ac:dyDescent="0.3">
      <c r="A35" s="194" t="str">
        <f>+'[1]EJECUCION AGENCIA'!A126</f>
        <v>Fuente: SIIF-NACIÓN</v>
      </c>
      <c r="B35" s="194"/>
      <c r="C35" s="194"/>
      <c r="D35" s="194"/>
      <c r="E35" s="194"/>
      <c r="F35" s="194"/>
      <c r="G35" s="194"/>
      <c r="H35" s="194"/>
      <c r="K35" s="8"/>
      <c r="N35" s="8"/>
      <c r="O35" s="82"/>
    </row>
    <row r="36" spans="1:19" ht="12" customHeight="1" x14ac:dyDescent="0.3">
      <c r="A36" s="194"/>
      <c r="B36" s="194"/>
      <c r="C36" s="194"/>
      <c r="D36" s="194"/>
      <c r="E36" s="194"/>
      <c r="F36" s="194"/>
      <c r="G36" s="194"/>
      <c r="H36" s="194"/>
      <c r="K36" s="195"/>
      <c r="L36" s="195"/>
      <c r="M36" s="195"/>
      <c r="O36" s="82"/>
    </row>
    <row r="37" spans="1:19" ht="12" customHeight="1" x14ac:dyDescent="0.3">
      <c r="A37" s="81"/>
      <c r="B37" s="81"/>
      <c r="C37" s="81"/>
      <c r="D37" s="81"/>
      <c r="E37" s="81"/>
      <c r="F37" s="81"/>
      <c r="G37" s="81"/>
      <c r="H37" s="81"/>
      <c r="K37" s="195"/>
      <c r="L37" s="195"/>
      <c r="M37" s="195"/>
      <c r="N37" s="84"/>
      <c r="O37" s="82"/>
    </row>
    <row r="38" spans="1:19" ht="12" customHeight="1" x14ac:dyDescent="0.3">
      <c r="A38" s="81"/>
      <c r="B38" s="81"/>
      <c r="C38" s="81"/>
      <c r="D38" s="81"/>
      <c r="E38" s="81"/>
      <c r="F38" s="81"/>
      <c r="G38" s="81"/>
      <c r="H38" s="81"/>
      <c r="K38" s="195"/>
      <c r="L38" s="195"/>
      <c r="M38" s="195"/>
      <c r="N38" s="84"/>
      <c r="O38" s="82"/>
    </row>
    <row r="39" spans="1:19" ht="12" customHeight="1" x14ac:dyDescent="0.3">
      <c r="H39" s="85" t="s">
        <v>235</v>
      </c>
      <c r="K39" s="195"/>
      <c r="L39" s="195"/>
      <c r="M39" s="195"/>
      <c r="N39" s="8"/>
      <c r="O39" s="84"/>
    </row>
    <row r="40" spans="1:19" ht="12" customHeight="1" x14ac:dyDescent="0.3">
      <c r="H40" s="85"/>
      <c r="K40" s="83"/>
      <c r="L40" s="83"/>
      <c r="M40" s="83"/>
      <c r="N40" s="8"/>
    </row>
    <row r="41" spans="1:19" ht="12" customHeight="1" x14ac:dyDescent="0.3">
      <c r="A41" s="87"/>
      <c r="B41" s="88"/>
      <c r="J41" s="89"/>
      <c r="P41" s="91"/>
      <c r="Q41" s="82"/>
    </row>
    <row r="42" spans="1:19" s="95" customFormat="1" ht="26.25" customHeight="1" x14ac:dyDescent="0.3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92"/>
      <c r="Q42" s="93"/>
      <c r="R42" s="92"/>
      <c r="S42" s="94"/>
    </row>
    <row r="43" spans="1:19" s="95" customFormat="1" ht="21.75" customHeight="1" x14ac:dyDescent="0.3">
      <c r="A43" s="196" t="s">
        <v>250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92"/>
      <c r="Q43" s="92"/>
      <c r="R43" s="92"/>
      <c r="S43" s="94"/>
    </row>
    <row r="44" spans="1:19" ht="12" customHeight="1" x14ac:dyDescent="0.3">
      <c r="L44" s="96"/>
      <c r="M44" s="96"/>
    </row>
    <row r="45" spans="1:19" ht="12" customHeight="1" x14ac:dyDescent="0.3">
      <c r="K45" s="97"/>
      <c r="O45" s="82"/>
    </row>
    <row r="46" spans="1:19" ht="12" customHeight="1" x14ac:dyDescent="0.3">
      <c r="K46" s="97"/>
      <c r="N46" s="8"/>
      <c r="S46" s="6"/>
    </row>
    <row r="47" spans="1:19" ht="12" customHeight="1" x14ac:dyDescent="0.3">
      <c r="C47" s="197"/>
      <c r="D47" s="197"/>
      <c r="E47" s="197"/>
      <c r="F47" s="197"/>
      <c r="G47" s="197"/>
      <c r="H47" s="98"/>
      <c r="K47" s="8"/>
      <c r="N47" s="8"/>
      <c r="S47" s="6"/>
    </row>
    <row r="48" spans="1:19" ht="12" customHeight="1" x14ac:dyDescent="0.3">
      <c r="N48" s="6"/>
      <c r="P48" s="7"/>
      <c r="Q48" s="7"/>
      <c r="R48" s="7"/>
      <c r="S48" s="6"/>
    </row>
    <row r="49" spans="8:19" ht="12" customHeight="1" x14ac:dyDescent="0.3">
      <c r="H49" s="97"/>
      <c r="I49" s="99"/>
      <c r="N49" s="6"/>
      <c r="P49" s="7"/>
      <c r="Q49" s="7"/>
      <c r="R49" s="7"/>
      <c r="S49" s="6"/>
    </row>
    <row r="50" spans="8:19" ht="12" customHeight="1" x14ac:dyDescent="0.3">
      <c r="H50" s="97"/>
      <c r="M50" s="100"/>
      <c r="N50" s="6"/>
      <c r="P50" s="7"/>
      <c r="Q50" s="7"/>
      <c r="R50" s="7"/>
      <c r="S50" s="6"/>
    </row>
    <row r="51" spans="8:19" ht="12" customHeight="1" x14ac:dyDescent="0.3">
      <c r="H51" s="97"/>
      <c r="M51" s="100"/>
      <c r="N51" s="6"/>
      <c r="P51" s="7"/>
      <c r="Q51" s="7"/>
      <c r="R51" s="7"/>
      <c r="S51" s="6"/>
    </row>
    <row r="52" spans="8:19" ht="12" customHeight="1" x14ac:dyDescent="0.3">
      <c r="H52" s="97"/>
      <c r="N52" s="6"/>
      <c r="P52" s="7"/>
      <c r="Q52" s="7"/>
      <c r="R52" s="7"/>
      <c r="S52" s="6"/>
    </row>
    <row r="53" spans="8:19" ht="12" customHeight="1" x14ac:dyDescent="0.3">
      <c r="H53" s="97"/>
      <c r="M53" s="100"/>
      <c r="N53" s="6"/>
      <c r="P53" s="7"/>
      <c r="Q53" s="7"/>
      <c r="R53" s="7"/>
      <c r="S53" s="6"/>
    </row>
    <row r="54" spans="8:19" ht="12" customHeight="1" x14ac:dyDescent="0.3">
      <c r="H54" s="101"/>
      <c r="N54" s="6"/>
      <c r="P54" s="7"/>
      <c r="Q54" s="7"/>
      <c r="R54" s="7"/>
      <c r="S54" s="6"/>
    </row>
    <row r="55" spans="8:19" ht="12" customHeight="1" x14ac:dyDescent="0.3">
      <c r="H55" s="97"/>
      <c r="N55" s="6"/>
      <c r="P55" s="7"/>
      <c r="Q55" s="7"/>
      <c r="R55" s="7"/>
      <c r="S55" s="6"/>
    </row>
    <row r="56" spans="8:19" ht="12" customHeight="1" x14ac:dyDescent="0.3">
      <c r="H56" s="97"/>
      <c r="K56" s="8"/>
      <c r="N56" s="6"/>
      <c r="P56" s="7"/>
      <c r="Q56" s="7"/>
      <c r="R56" s="7"/>
      <c r="S56" s="6"/>
    </row>
    <row r="57" spans="8:19" ht="12" customHeight="1" x14ac:dyDescent="0.3">
      <c r="H57" s="8"/>
      <c r="K57" s="8"/>
      <c r="N57" s="6"/>
      <c r="P57" s="7"/>
      <c r="Q57" s="7"/>
      <c r="R57" s="7"/>
      <c r="S57" s="6"/>
    </row>
    <row r="58" spans="8:19" ht="12" customHeight="1" x14ac:dyDescent="0.3">
      <c r="H58" s="97"/>
      <c r="N58" s="6"/>
      <c r="P58" s="7"/>
      <c r="Q58" s="7"/>
      <c r="R58" s="7"/>
      <c r="S58" s="6"/>
    </row>
    <row r="59" spans="8:19" ht="12" customHeight="1" x14ac:dyDescent="0.3">
      <c r="H59" s="102"/>
      <c r="N59" s="6"/>
      <c r="P59" s="7"/>
      <c r="Q59" s="7"/>
      <c r="R59" s="7"/>
    </row>
    <row r="60" spans="8:19" ht="12" customHeight="1" x14ac:dyDescent="0.3">
      <c r="N60" s="6"/>
      <c r="P60" s="7"/>
      <c r="Q60" s="7"/>
      <c r="R60" s="7"/>
    </row>
    <row r="61" spans="8:19" ht="12" customHeight="1" x14ac:dyDescent="0.3">
      <c r="H61" s="97"/>
    </row>
    <row r="62" spans="8:19" ht="12" customHeight="1" x14ac:dyDescent="0.3">
      <c r="H62" s="102"/>
      <c r="J62" s="89"/>
    </row>
    <row r="63" spans="8:19" ht="12" customHeight="1" x14ac:dyDescent="0.3">
      <c r="H63" s="103"/>
    </row>
    <row r="65" spans="8:15" ht="12" customHeight="1" x14ac:dyDescent="0.3">
      <c r="N65" s="8"/>
      <c r="O65" s="104"/>
    </row>
    <row r="66" spans="8:15" ht="12" customHeight="1" x14ac:dyDescent="0.3">
      <c r="H66" s="103"/>
      <c r="N66" s="8"/>
      <c r="O66" s="104"/>
    </row>
    <row r="67" spans="8:15" ht="12" customHeight="1" x14ac:dyDescent="0.3">
      <c r="H67" s="103"/>
      <c r="N67" s="8"/>
      <c r="O67" s="104"/>
    </row>
    <row r="68" spans="8:15" ht="12" customHeight="1" x14ac:dyDescent="0.3">
      <c r="H68" s="103"/>
      <c r="N68" s="8"/>
      <c r="O68" s="104"/>
    </row>
    <row r="69" spans="8:15" ht="12" customHeight="1" x14ac:dyDescent="0.3">
      <c r="H69" s="103"/>
      <c r="N69" s="8"/>
      <c r="O69" s="104"/>
    </row>
    <row r="70" spans="8:15" ht="12" customHeight="1" x14ac:dyDescent="0.3">
      <c r="N70" s="8"/>
      <c r="O70" s="104"/>
    </row>
    <row r="71" spans="8:15" ht="12" customHeight="1" x14ac:dyDescent="0.3">
      <c r="N71" s="8"/>
      <c r="O71" s="104"/>
    </row>
    <row r="72" spans="8:15" ht="12" customHeight="1" x14ac:dyDescent="0.3">
      <c r="N72" s="8"/>
      <c r="O72" s="104"/>
    </row>
    <row r="73" spans="8:15" ht="12" customHeight="1" x14ac:dyDescent="0.3">
      <c r="N73" s="8"/>
      <c r="O73" s="104"/>
    </row>
    <row r="74" spans="8:15" ht="12" customHeight="1" x14ac:dyDescent="0.3">
      <c r="N74" s="8"/>
      <c r="O74" s="104"/>
    </row>
    <row r="75" spans="8:15" ht="12" customHeight="1" x14ac:dyDescent="0.3">
      <c r="N75" s="8"/>
      <c r="O75" s="104"/>
    </row>
    <row r="76" spans="8:15" ht="12" customHeight="1" x14ac:dyDescent="0.3">
      <c r="N76" s="8"/>
      <c r="O76" s="104"/>
    </row>
    <row r="77" spans="8:15" ht="12" customHeight="1" x14ac:dyDescent="0.3">
      <c r="N77" s="8"/>
      <c r="O77" s="104"/>
    </row>
    <row r="78" spans="8:15" ht="12" customHeight="1" x14ac:dyDescent="0.3">
      <c r="N78" s="8"/>
      <c r="O78" s="104"/>
    </row>
    <row r="162" spans="4:4" ht="12" customHeight="1" x14ac:dyDescent="0.3">
      <c r="D162" s="6">
        <f>SUM(B160:B162)</f>
        <v>0</v>
      </c>
    </row>
  </sheetData>
  <mergeCells count="34">
    <mergeCell ref="L36:L39"/>
    <mergeCell ref="M36:M39"/>
    <mergeCell ref="A42:O42"/>
    <mergeCell ref="A43:O43"/>
    <mergeCell ref="C47:G47"/>
    <mergeCell ref="A36:H36"/>
    <mergeCell ref="K36:K39"/>
    <mergeCell ref="D28:G28"/>
    <mergeCell ref="D24:G24"/>
    <mergeCell ref="A32:H32"/>
    <mergeCell ref="A33:H33"/>
    <mergeCell ref="A35:H35"/>
    <mergeCell ref="P8:P9"/>
    <mergeCell ref="Q8:Q9"/>
    <mergeCell ref="A21:G21"/>
    <mergeCell ref="L8:L9"/>
    <mergeCell ref="M8:M9"/>
    <mergeCell ref="A23:H23"/>
    <mergeCell ref="H8:H9"/>
    <mergeCell ref="I8:I9"/>
    <mergeCell ref="J8:J9"/>
    <mergeCell ref="K8:K9"/>
    <mergeCell ref="A2:O2"/>
    <mergeCell ref="A3:O3"/>
    <mergeCell ref="A6:O7"/>
    <mergeCell ref="A8:A9"/>
    <mergeCell ref="B8:B9"/>
    <mergeCell ref="C8:C9"/>
    <mergeCell ref="D8:D9"/>
    <mergeCell ref="E8:E9"/>
    <mergeCell ref="F8:F9"/>
    <mergeCell ref="G8:G9"/>
    <mergeCell ref="N8:N9"/>
    <mergeCell ref="O8:O9"/>
  </mergeCells>
  <pageMargins left="0.7" right="0.7" top="0.75" bottom="0.75" header="0.3" footer="0.3"/>
  <pageSetup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60DD-A2EB-4DEC-9F33-A1199CC7F2DA}">
  <dimension ref="A1:I17"/>
  <sheetViews>
    <sheetView workbookViewId="0">
      <selection activeCell="C22" sqref="C22"/>
    </sheetView>
  </sheetViews>
  <sheetFormatPr baseColWidth="10" defaultColWidth="11.44140625" defaultRowHeight="14.4" x14ac:dyDescent="0.3"/>
  <cols>
    <col min="1" max="1" width="42.88671875" customWidth="1"/>
    <col min="2" max="2" width="23.6640625" customWidth="1"/>
    <col min="3" max="3" width="19.44140625" customWidth="1"/>
    <col min="4" max="4" width="17" bestFit="1" customWidth="1"/>
    <col min="5" max="5" width="16.88671875" bestFit="1" customWidth="1"/>
    <col min="6" max="6" width="17.33203125" customWidth="1"/>
    <col min="7" max="7" width="18.6640625" customWidth="1"/>
    <col min="8" max="8" width="16" customWidth="1"/>
    <col min="9" max="9" width="15.33203125" customWidth="1"/>
  </cols>
  <sheetData>
    <row r="1" spans="1:9" ht="24.6" customHeight="1" thickBot="1" x14ac:dyDescent="0.35">
      <c r="A1" s="198" t="s">
        <v>236</v>
      </c>
      <c r="B1" s="198"/>
      <c r="C1" s="198"/>
      <c r="D1" s="198"/>
      <c r="E1" s="198"/>
      <c r="F1" s="198"/>
      <c r="G1" s="115"/>
      <c r="H1" s="115"/>
      <c r="I1" s="115"/>
    </row>
    <row r="2" spans="1:9" ht="49.2" thickBot="1" x14ac:dyDescent="0.35">
      <c r="A2" s="116" t="s">
        <v>216</v>
      </c>
      <c r="B2" s="117" t="s">
        <v>217</v>
      </c>
      <c r="C2" s="117" t="s">
        <v>218</v>
      </c>
      <c r="D2" s="117" t="s">
        <v>219</v>
      </c>
      <c r="E2" s="117" t="s">
        <v>220</v>
      </c>
      <c r="F2" s="117" t="s">
        <v>32</v>
      </c>
      <c r="G2" s="117" t="s">
        <v>237</v>
      </c>
      <c r="H2" s="118" t="s">
        <v>238</v>
      </c>
      <c r="I2" s="119" t="s">
        <v>239</v>
      </c>
    </row>
    <row r="3" spans="1:9" ht="15" thickBot="1" x14ac:dyDescent="0.35">
      <c r="A3" s="120" t="s">
        <v>225</v>
      </c>
      <c r="B3" s="145">
        <f>+'SEG.PTAL-DR '!I10</f>
        <v>62473876000</v>
      </c>
      <c r="C3" s="122">
        <f>+'SEG.PTAL-DR '!J10</f>
        <v>4228912629</v>
      </c>
      <c r="D3" s="122">
        <f>+'SEG.PTAL-DR '!K10</f>
        <v>58244963371</v>
      </c>
      <c r="E3" s="122">
        <f>+'SEG.PTAL-DR '!L10</f>
        <v>4071537548</v>
      </c>
      <c r="F3" s="122">
        <f>+'SEG.PTAL-DR '!M10</f>
        <v>4071537548</v>
      </c>
      <c r="G3" s="122">
        <f>+'SEG.PTAL-DR '!N10</f>
        <v>0</v>
      </c>
      <c r="H3" s="123">
        <f t="shared" ref="H3:H14" si="0">+C3/B3</f>
        <v>6.7690895775379775E-2</v>
      </c>
      <c r="I3" s="123">
        <f>+E3/B3</f>
        <v>6.5171841555020538E-2</v>
      </c>
    </row>
    <row r="4" spans="1:9" ht="15" thickBot="1" x14ac:dyDescent="0.35">
      <c r="A4" s="120" t="s">
        <v>240</v>
      </c>
      <c r="B4" s="145">
        <f>+'SEG.PTAL-DR '!I14</f>
        <v>170358209405</v>
      </c>
      <c r="C4" s="124">
        <f>+'SEG.PTAL-DR '!J14</f>
        <v>99109216584.929993</v>
      </c>
      <c r="D4" s="124">
        <f>+'SEG.PTAL-DR '!K14</f>
        <v>5043249712.4100037</v>
      </c>
      <c r="E4" s="124">
        <f>+'SEG.PTAL-DR '!L14</f>
        <v>61325348.5</v>
      </c>
      <c r="F4" s="124">
        <f>+'SEG.PTAL-DR '!M14</f>
        <v>61325348.5</v>
      </c>
      <c r="G4" s="122">
        <f>+'SEG.PTAL-DR '!N14</f>
        <v>66205743107.660004</v>
      </c>
      <c r="H4" s="123">
        <f t="shared" si="0"/>
        <v>0.58176953685462451</v>
      </c>
      <c r="I4" s="123">
        <f t="shared" ref="I4:I9" si="1">+E4/B4</f>
        <v>3.599788276372909E-4</v>
      </c>
    </row>
    <row r="5" spans="1:9" ht="15" thickBot="1" x14ac:dyDescent="0.35">
      <c r="A5" s="120" t="s">
        <v>241</v>
      </c>
      <c r="B5" s="145">
        <f t="shared" ref="B5:G5" si="2">SUM(B6:B8)</f>
        <v>2578124000</v>
      </c>
      <c r="C5" s="122">
        <f t="shared" si="2"/>
        <v>2092784295</v>
      </c>
      <c r="D5" s="122">
        <f t="shared" si="2"/>
        <v>288339705</v>
      </c>
      <c r="E5" s="122">
        <f t="shared" si="2"/>
        <v>38088569</v>
      </c>
      <c r="F5" s="122">
        <f t="shared" si="2"/>
        <v>38088569</v>
      </c>
      <c r="G5" s="124">
        <f t="shared" si="2"/>
        <v>197000000</v>
      </c>
      <c r="H5" s="123">
        <f t="shared" si="0"/>
        <v>0.81174695049578682</v>
      </c>
      <c r="I5" s="123">
        <f t="shared" si="1"/>
        <v>1.4773753706183257E-2</v>
      </c>
    </row>
    <row r="6" spans="1:9" ht="24.6" thickBot="1" x14ac:dyDescent="0.35">
      <c r="A6" s="147" t="s">
        <v>200</v>
      </c>
      <c r="B6" s="146">
        <f>+'SEG.PTAL-DR '!I17</f>
        <v>2181124000</v>
      </c>
      <c r="C6" s="126">
        <f>+'SEG.PTAL-DR '!J17</f>
        <v>2064842664</v>
      </c>
      <c r="D6" s="126">
        <f>+'SEG.PTAL-DR '!K17</f>
        <v>36281336</v>
      </c>
      <c r="E6" s="126">
        <f>+'SEG.PTAL-DR '!L17</f>
        <v>10146938</v>
      </c>
      <c r="F6" s="126">
        <f>+'SEG.PTAL-DR '!M17</f>
        <v>10146938</v>
      </c>
      <c r="G6" s="126">
        <f>+'SEG.PTAL-DR '!N17</f>
        <v>80000000</v>
      </c>
      <c r="H6" s="127">
        <f t="shared" si="0"/>
        <v>0.94668742538250916</v>
      </c>
      <c r="I6" s="127">
        <f t="shared" si="1"/>
        <v>4.6521600789317802E-3</v>
      </c>
    </row>
    <row r="7" spans="1:9" ht="29.4" customHeight="1" thickBot="1" x14ac:dyDescent="0.35">
      <c r="A7" s="147" t="s">
        <v>242</v>
      </c>
      <c r="B7" s="146">
        <f>+'SEG.PTAL-DR '!I18+'SEG.PTAL-DR '!I19</f>
        <v>280000000</v>
      </c>
      <c r="C7" s="126">
        <f>+'SEG.PTAL-DR '!J18+'SEG.PTAL-DR '!J19</f>
        <v>27941631</v>
      </c>
      <c r="D7" s="126">
        <f>+'SEG.PTAL-DR '!K18+'SEG.PTAL-DR '!K19</f>
        <v>252058369</v>
      </c>
      <c r="E7" s="126">
        <f>+'SEG.PTAL-DR '!L18+'SEG.PTAL-DR '!L19</f>
        <v>27941631</v>
      </c>
      <c r="F7" s="126">
        <f>+'SEG.PTAL-DR '!M18+'SEG.PTAL-DR '!M19</f>
        <v>27941631</v>
      </c>
      <c r="G7" s="126">
        <f>+'SEG.PTAL-DR '!N18+'SEG.PTAL-DR '!N19</f>
        <v>0</v>
      </c>
      <c r="H7" s="127">
        <f t="shared" si="0"/>
        <v>9.9791539285714284E-2</v>
      </c>
      <c r="I7" s="127">
        <f t="shared" si="1"/>
        <v>9.9791539285714284E-2</v>
      </c>
    </row>
    <row r="8" spans="1:9" ht="15" thickBot="1" x14ac:dyDescent="0.35">
      <c r="A8" s="125" t="s">
        <v>243</v>
      </c>
      <c r="B8" s="146">
        <f>+'SEG.PTAL-DR '!I20</f>
        <v>117000000</v>
      </c>
      <c r="C8" s="126">
        <f>+'SEG.PTAL-DR '!J20</f>
        <v>0</v>
      </c>
      <c r="D8" s="128">
        <f>+'SEG.PTAL-DR '!K20</f>
        <v>0</v>
      </c>
      <c r="E8" s="126">
        <f>+'SEG.PTAL-DR '!L20</f>
        <v>0</v>
      </c>
      <c r="F8" s="126">
        <f>+'SEG.PTAL-DR '!M20</f>
        <v>0</v>
      </c>
      <c r="G8" s="126">
        <f>+'SEG.PTAL-DR '!N20</f>
        <v>117000000</v>
      </c>
      <c r="H8" s="127">
        <f t="shared" si="0"/>
        <v>0</v>
      </c>
      <c r="I8" s="127">
        <f t="shared" si="1"/>
        <v>0</v>
      </c>
    </row>
    <row r="9" spans="1:9" ht="28.2" thickBot="1" x14ac:dyDescent="0.35">
      <c r="A9" s="148" t="s">
        <v>244</v>
      </c>
      <c r="B9" s="145">
        <f>+'SEG.PTAL-DR '!I22</f>
        <v>309000000</v>
      </c>
      <c r="C9" s="122">
        <f>+'SEG.PTAL-DR '!J22</f>
        <v>0</v>
      </c>
      <c r="D9" s="122">
        <f>+'SEG.PTAL-DR '!K22</f>
        <v>0</v>
      </c>
      <c r="E9" s="122">
        <f>+'SEG.PTAL-DR '!L22</f>
        <v>0</v>
      </c>
      <c r="F9" s="122">
        <f>+'SEG.PTAL-DR '!M22</f>
        <v>0</v>
      </c>
      <c r="G9" s="122">
        <f>+'SEG.PTAL-DR '!N22</f>
        <v>309000000</v>
      </c>
      <c r="H9" s="123">
        <f t="shared" si="0"/>
        <v>0</v>
      </c>
      <c r="I9" s="123">
        <f t="shared" si="1"/>
        <v>0</v>
      </c>
    </row>
    <row r="10" spans="1:9" ht="15" thickBot="1" x14ac:dyDescent="0.35">
      <c r="A10" s="129" t="s">
        <v>245</v>
      </c>
      <c r="B10" s="130">
        <f t="shared" ref="B10:G10" si="3">+B3+B4+B5+B9</f>
        <v>235719209405</v>
      </c>
      <c r="C10" s="131">
        <f t="shared" si="3"/>
        <v>105430913508.92999</v>
      </c>
      <c r="D10" s="131">
        <f t="shared" si="3"/>
        <v>63576552788.410004</v>
      </c>
      <c r="E10" s="131">
        <f>+E3+E4+E5+E9</f>
        <v>4170951465.5</v>
      </c>
      <c r="F10" s="131">
        <f t="shared" si="3"/>
        <v>4170951465.5</v>
      </c>
      <c r="G10" s="131">
        <f t="shared" si="3"/>
        <v>66711743107.660004</v>
      </c>
      <c r="H10" s="132">
        <f t="shared" si="0"/>
        <v>0.44727332055396596</v>
      </c>
      <c r="I10" s="132">
        <f>+E10/B10</f>
        <v>1.76945760000989E-2</v>
      </c>
    </row>
    <row r="11" spans="1:9" ht="48.6" customHeight="1" thickBot="1" x14ac:dyDescent="0.35">
      <c r="A11" s="144" t="s">
        <v>229</v>
      </c>
      <c r="B11" s="121">
        <f>+'SEG.PTAL-DR '!I24</f>
        <v>5958976410</v>
      </c>
      <c r="C11" s="122">
        <f>+'SEG.PTAL-DR '!J24</f>
        <v>2012933280</v>
      </c>
      <c r="D11" s="122">
        <f>+'SEG.PTAL-DR '!K24</f>
        <v>3274975384</v>
      </c>
      <c r="E11" s="122">
        <f>+'SEG.PTAL-DR '!L24</f>
        <v>0</v>
      </c>
      <c r="F11" s="122">
        <f>+'SEG.PTAL-DR '!M24</f>
        <v>0</v>
      </c>
      <c r="G11" s="122">
        <f>+'SEG.PTAL-DR '!N24</f>
        <v>671067746</v>
      </c>
      <c r="H11" s="123">
        <f t="shared" si="0"/>
        <v>0.33779849784637761</v>
      </c>
      <c r="I11" s="123">
        <f>+E11/B11</f>
        <v>0</v>
      </c>
    </row>
    <row r="12" spans="1:9" ht="42" customHeight="1" thickBot="1" x14ac:dyDescent="0.35">
      <c r="A12" s="144" t="s">
        <v>232</v>
      </c>
      <c r="B12" s="121">
        <f>+'SEG.PTAL-DR '!I28</f>
        <v>16307350590</v>
      </c>
      <c r="C12" s="122">
        <f>+'SEG.PTAL-DR '!J28</f>
        <v>0</v>
      </c>
      <c r="D12" s="124">
        <f>+'SEG.PTAL-DR '!K28</f>
        <v>0</v>
      </c>
      <c r="E12" s="122">
        <f>+'SEG.PTAL-DR '!K28</f>
        <v>0</v>
      </c>
      <c r="F12" s="122">
        <f>+'SEG.PTAL-DR '!M28</f>
        <v>0</v>
      </c>
      <c r="G12" s="122">
        <f>+'SEG.PTAL-DR '!N28</f>
        <v>16307350590</v>
      </c>
      <c r="H12" s="123">
        <f t="shared" si="0"/>
        <v>0</v>
      </c>
      <c r="I12" s="123">
        <f>+E12/B12</f>
        <v>0</v>
      </c>
    </row>
    <row r="13" spans="1:9" ht="15" thickBot="1" x14ac:dyDescent="0.35">
      <c r="A13" s="129" t="s">
        <v>246</v>
      </c>
      <c r="B13" s="130">
        <f>SUM(B11:B12)</f>
        <v>22266327000</v>
      </c>
      <c r="C13" s="131">
        <f t="shared" ref="C13:G13" si="4">SUM(C11:C12)</f>
        <v>2012933280</v>
      </c>
      <c r="D13" s="131">
        <f t="shared" si="4"/>
        <v>3274975384</v>
      </c>
      <c r="E13" s="131">
        <f t="shared" si="4"/>
        <v>0</v>
      </c>
      <c r="F13" s="131">
        <f t="shared" si="4"/>
        <v>0</v>
      </c>
      <c r="G13" s="131">
        <f t="shared" si="4"/>
        <v>16978418336</v>
      </c>
      <c r="H13" s="132">
        <f t="shared" si="0"/>
        <v>9.0402574254837803E-2</v>
      </c>
      <c r="I13" s="132">
        <f>+E13/B13</f>
        <v>0</v>
      </c>
    </row>
    <row r="14" spans="1:9" ht="22.95" customHeight="1" thickBot="1" x14ac:dyDescent="0.35">
      <c r="A14" s="134" t="s">
        <v>247</v>
      </c>
      <c r="B14" s="135">
        <f t="shared" ref="B14:G14" si="5">+B10+B13</f>
        <v>257985536405</v>
      </c>
      <c r="C14" s="136">
        <f t="shared" si="5"/>
        <v>107443846788.92999</v>
      </c>
      <c r="D14" s="136">
        <f t="shared" si="5"/>
        <v>66851528172.410004</v>
      </c>
      <c r="E14" s="136">
        <f t="shared" si="5"/>
        <v>4170951465.5</v>
      </c>
      <c r="F14" s="136">
        <f t="shared" si="5"/>
        <v>4170951465.5</v>
      </c>
      <c r="G14" s="136">
        <f t="shared" si="5"/>
        <v>83690161443.660004</v>
      </c>
      <c r="H14" s="137">
        <f t="shared" si="0"/>
        <v>0.41647236618822958</v>
      </c>
      <c r="I14" s="138">
        <f>+E14/B14</f>
        <v>1.6167384899253456E-2</v>
      </c>
    </row>
    <row r="15" spans="1:9" ht="15" thickBot="1" x14ac:dyDescent="0.35">
      <c r="A15" s="133" t="s">
        <v>248</v>
      </c>
      <c r="B15" s="121">
        <v>0</v>
      </c>
      <c r="C15" s="122"/>
      <c r="D15" s="122"/>
      <c r="E15" s="122"/>
      <c r="F15" s="122"/>
      <c r="G15" s="122"/>
      <c r="H15" s="123"/>
      <c r="I15" s="123"/>
    </row>
    <row r="16" spans="1:9" ht="17.399999999999999" thickBot="1" x14ac:dyDescent="0.35">
      <c r="A16" s="139" t="s">
        <v>249</v>
      </c>
      <c r="B16" s="140">
        <f>+B14+B15</f>
        <v>257985536405</v>
      </c>
      <c r="C16" s="141">
        <f>+C14</f>
        <v>107443846788.92999</v>
      </c>
      <c r="D16" s="141">
        <f>+D14</f>
        <v>66851528172.410004</v>
      </c>
      <c r="E16" s="141">
        <f>+E14</f>
        <v>4170951465.5</v>
      </c>
      <c r="F16" s="141">
        <f>+F14</f>
        <v>4170951465.5</v>
      </c>
      <c r="G16" s="141">
        <f>+G14</f>
        <v>83690161443.660004</v>
      </c>
      <c r="H16" s="137">
        <f>+C16/B16</f>
        <v>0.41647236618822958</v>
      </c>
      <c r="I16" s="138">
        <f>+E16/B16</f>
        <v>1.6167384899253456E-2</v>
      </c>
    </row>
    <row r="17" spans="1:9" x14ac:dyDescent="0.3">
      <c r="A17" s="142"/>
      <c r="B17" s="143"/>
      <c r="C17" s="143"/>
      <c r="D17" s="143"/>
      <c r="E17" s="143"/>
      <c r="F17" s="143"/>
      <c r="G17" s="143"/>
      <c r="H17" s="142"/>
      <c r="I17" s="143"/>
    </row>
  </sheetData>
  <mergeCells count="1">
    <mergeCell ref="A1:F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abf8d-0bae-467f-b1a7-be496c391eb0" xsi:nil="true"/>
    <lcf76f155ced4ddcb4097134ff3c332f xmlns="63c11f8f-6e72-4f27-add6-0409666d8a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D7322E0A14D4F9213EAEA28198D4D" ma:contentTypeVersion="12" ma:contentTypeDescription="Crear nuevo documento." ma:contentTypeScope="" ma:versionID="49b75bcc92882ec6856dea581aeb1da3">
  <xsd:schema xmlns:xsd="http://www.w3.org/2001/XMLSchema" xmlns:xs="http://www.w3.org/2001/XMLSchema" xmlns:p="http://schemas.microsoft.com/office/2006/metadata/properties" xmlns:ns2="63c11f8f-6e72-4f27-add6-0409666d8a77" xmlns:ns3="1d6abf8d-0bae-467f-b1a7-be496c391eb0" targetNamespace="http://schemas.microsoft.com/office/2006/metadata/properties" ma:root="true" ma:fieldsID="7abea8fbcbc479a4b968eb9f088e774c" ns2:_="" ns3:_="">
    <xsd:import namespace="63c11f8f-6e72-4f27-add6-0409666d8a77"/>
    <xsd:import namespace="1d6abf8d-0bae-467f-b1a7-be496c391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11f8f-6e72-4f27-add6-0409666d8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bf8d-0bae-467f-b1a7-be496c391e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c06bf3f-343b-4871-ae8c-dd027f5d26a5}" ma:internalName="TaxCatchAll" ma:showField="CatchAllData" ma:web="1d6abf8d-0bae-467f-b1a7-be496c391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E0B82-C1D7-4CDB-A95E-13EAFA031469}">
  <ds:schemaRefs>
    <ds:schemaRef ds:uri="1d6abf8d-0bae-467f-b1a7-be496c391eb0"/>
    <ds:schemaRef ds:uri="63c11f8f-6e72-4f27-add6-0409666d8a7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8DA173-4E96-4CCD-A8FB-8F2233220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8EBBB-CF85-4AD1-9579-BDF3A28AA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11f8f-6e72-4f27-add6-0409666d8a77"/>
    <ds:schemaRef ds:uri="1d6abf8d-0bae-467f-b1a7-be496c391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EJECUCION PRESUPUESTAL </vt:lpstr>
      <vt:lpstr>EJE DESAGREGADA</vt:lpstr>
      <vt:lpstr>EJE DECRETO</vt:lpstr>
      <vt:lpstr>SEG.PTAL-DR </vt:lpstr>
      <vt:lpstr>INFO-SGG</vt:lpstr>
      <vt:lpstr>'SEG.PTAL-DR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Jhohanna Alexandra Guevara Gonzalez</cp:lastModifiedBy>
  <cp:revision/>
  <cp:lastPrinted>2026-02-10T15:40:13Z</cp:lastPrinted>
  <dcterms:created xsi:type="dcterms:W3CDTF">2026-01-13T13:40:10Z</dcterms:created>
  <dcterms:modified xsi:type="dcterms:W3CDTF">2026-03-10T23:52:34Z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0x01010070CD7322E0A14D4F9213EAEA28198D4D</vt:lpwstr>
  </property>
  <property fmtid="{D5CDD505-2E9C-101B-9397-08002B2CF9AE}" pid="3" name="MediaServiceImageTags">
    <vt:lpwstr/>
  </property>
</Properties>
</file>